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rskning\BeFo Valstabilitet\19 Uppdragsresultat\Till BeFo 20240819\"/>
    </mc:Choice>
  </mc:AlternateContent>
  <xr:revisionPtr revIDLastSave="0" documentId="13_ncr:1_{15F6393F-0D48-4F62-9E74-593025F030D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alvstabilitet 15 grader komb" sheetId="30" r:id="rId1"/>
    <sheet name="Valvstabilitet 30 grader bult" sheetId="32" r:id="rId2"/>
    <sheet name="Valvstabilitet 45 grader bult" sheetId="33" r:id="rId3"/>
    <sheet name="Valvstabilitet 60 grader bult" sheetId="34" r:id="rId4"/>
    <sheet name="Valvstabilitet 75 grader bult" sheetId="3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30" l="1"/>
  <c r="G32" i="35" l="1"/>
  <c r="G28" i="35"/>
  <c r="M24" i="35"/>
  <c r="B23" i="35"/>
  <c r="T19" i="35"/>
  <c r="C19" i="35"/>
  <c r="D19" i="35" s="1"/>
  <c r="T18" i="35"/>
  <c r="C18" i="35"/>
  <c r="D18" i="35" s="1"/>
  <c r="T17" i="35"/>
  <c r="G17" i="35"/>
  <c r="C17" i="35"/>
  <c r="D17" i="35" s="1"/>
  <c r="T16" i="35"/>
  <c r="C16" i="35"/>
  <c r="D16" i="35" s="1"/>
  <c r="T15" i="35"/>
  <c r="C15" i="35"/>
  <c r="D15" i="35" s="1"/>
  <c r="T14" i="35"/>
  <c r="C14" i="35"/>
  <c r="D14" i="35" s="1"/>
  <c r="T13" i="35"/>
  <c r="G13" i="35"/>
  <c r="C13" i="35"/>
  <c r="D13" i="35" s="1"/>
  <c r="T12" i="35"/>
  <c r="C12" i="35"/>
  <c r="D12" i="35" s="1"/>
  <c r="T11" i="35"/>
  <c r="C11" i="35"/>
  <c r="D11" i="35" s="1"/>
  <c r="T10" i="35"/>
  <c r="C10" i="35"/>
  <c r="D10" i="35" s="1"/>
  <c r="T9" i="35"/>
  <c r="G9" i="35"/>
  <c r="C9" i="35"/>
  <c r="D9" i="35" s="1"/>
  <c r="T8" i="35"/>
  <c r="C8" i="35"/>
  <c r="D8" i="35" s="1"/>
  <c r="T7" i="35"/>
  <c r="C7" i="35"/>
  <c r="D7" i="35" s="1"/>
  <c r="T6" i="35"/>
  <c r="C6" i="35"/>
  <c r="D6" i="35" s="1"/>
  <c r="T5" i="35"/>
  <c r="G5" i="35"/>
  <c r="C5" i="35"/>
  <c r="D5" i="35" s="1"/>
  <c r="T4" i="35"/>
  <c r="C4" i="35"/>
  <c r="D4" i="35" s="1"/>
  <c r="G32" i="34"/>
  <c r="G28" i="34"/>
  <c r="M24" i="34"/>
  <c r="M23" i="34" s="1"/>
  <c r="F21" i="34" s="1"/>
  <c r="B23" i="34"/>
  <c r="G17" i="34" s="1"/>
  <c r="T19" i="34"/>
  <c r="C19" i="34"/>
  <c r="D19" i="34" s="1"/>
  <c r="L19" i="34" s="1"/>
  <c r="T18" i="34"/>
  <c r="C18" i="34"/>
  <c r="D18" i="34" s="1"/>
  <c r="T17" i="34"/>
  <c r="C17" i="34"/>
  <c r="D17" i="34" s="1"/>
  <c r="L17" i="34" s="1"/>
  <c r="T16" i="34"/>
  <c r="C16" i="34"/>
  <c r="D16" i="34" s="1"/>
  <c r="L16" i="34" s="1"/>
  <c r="T15" i="34"/>
  <c r="C15" i="34"/>
  <c r="D15" i="34" s="1"/>
  <c r="L15" i="34" s="1"/>
  <c r="T14" i="34"/>
  <c r="D14" i="34"/>
  <c r="L14" i="34" s="1"/>
  <c r="C14" i="34"/>
  <c r="T13" i="34"/>
  <c r="G13" i="34"/>
  <c r="C13" i="34"/>
  <c r="D13" i="34" s="1"/>
  <c r="L13" i="34" s="1"/>
  <c r="T12" i="34"/>
  <c r="C12" i="34"/>
  <c r="D12" i="34" s="1"/>
  <c r="T11" i="34"/>
  <c r="C11" i="34"/>
  <c r="D11" i="34" s="1"/>
  <c r="L11" i="34" s="1"/>
  <c r="T10" i="34"/>
  <c r="D10" i="34"/>
  <c r="C10" i="34"/>
  <c r="T9" i="34"/>
  <c r="G9" i="34"/>
  <c r="C9" i="34"/>
  <c r="D9" i="34" s="1"/>
  <c r="L9" i="34" s="1"/>
  <c r="T8" i="34"/>
  <c r="C8" i="34"/>
  <c r="D8" i="34" s="1"/>
  <c r="L8" i="34" s="1"/>
  <c r="T7" i="34"/>
  <c r="G7" i="34"/>
  <c r="C7" i="34"/>
  <c r="D7" i="34" s="1"/>
  <c r="L7" i="34" s="1"/>
  <c r="T6" i="34"/>
  <c r="G6" i="34"/>
  <c r="C6" i="34"/>
  <c r="D6" i="34" s="1"/>
  <c r="L6" i="34" s="1"/>
  <c r="T5" i="34"/>
  <c r="G5" i="34"/>
  <c r="C5" i="34"/>
  <c r="D5" i="34" s="1"/>
  <c r="L5" i="34" s="1"/>
  <c r="T4" i="34"/>
  <c r="C4" i="34"/>
  <c r="D4" i="34" s="1"/>
  <c r="G32" i="33"/>
  <c r="G28" i="33"/>
  <c r="M24" i="33"/>
  <c r="J20" i="33" s="1"/>
  <c r="M23" i="33"/>
  <c r="F21" i="33" s="1"/>
  <c r="B23" i="33"/>
  <c r="B27" i="33" s="1"/>
  <c r="T19" i="33"/>
  <c r="G19" i="33"/>
  <c r="C19" i="33"/>
  <c r="D19" i="33" s="1"/>
  <c r="T18" i="33"/>
  <c r="C18" i="33"/>
  <c r="D18" i="33" s="1"/>
  <c r="T17" i="33"/>
  <c r="G17" i="33"/>
  <c r="C17" i="33"/>
  <c r="D17" i="33" s="1"/>
  <c r="T16" i="33"/>
  <c r="C16" i="33"/>
  <c r="D16" i="33" s="1"/>
  <c r="L16" i="33" s="1"/>
  <c r="T15" i="33"/>
  <c r="C15" i="33"/>
  <c r="D15" i="33" s="1"/>
  <c r="T14" i="33"/>
  <c r="G14" i="33"/>
  <c r="C14" i="33"/>
  <c r="D14" i="33" s="1"/>
  <c r="L14" i="33" s="1"/>
  <c r="T13" i="33"/>
  <c r="C13" i="33"/>
  <c r="D13" i="33" s="1"/>
  <c r="T12" i="33"/>
  <c r="C12" i="33"/>
  <c r="D12" i="33" s="1"/>
  <c r="T11" i="33"/>
  <c r="C11" i="33"/>
  <c r="D11" i="33" s="1"/>
  <c r="T10" i="33"/>
  <c r="G10" i="33"/>
  <c r="C10" i="33"/>
  <c r="D10" i="33" s="1"/>
  <c r="T9" i="33"/>
  <c r="C9" i="33"/>
  <c r="D9" i="33" s="1"/>
  <c r="T8" i="33"/>
  <c r="G8" i="33"/>
  <c r="C8" i="33"/>
  <c r="D8" i="33" s="1"/>
  <c r="L8" i="33" s="1"/>
  <c r="T7" i="33"/>
  <c r="C7" i="33"/>
  <c r="D7" i="33" s="1"/>
  <c r="L7" i="33" s="1"/>
  <c r="T6" i="33"/>
  <c r="C6" i="33"/>
  <c r="D6" i="33" s="1"/>
  <c r="T5" i="33"/>
  <c r="G5" i="33"/>
  <c r="C5" i="33"/>
  <c r="D5" i="33" s="1"/>
  <c r="T4" i="33"/>
  <c r="G4" i="33"/>
  <c r="C4" i="33"/>
  <c r="D4" i="33" s="1"/>
  <c r="L4" i="33" s="1"/>
  <c r="G32" i="32"/>
  <c r="G28" i="32"/>
  <c r="M24" i="32"/>
  <c r="B23" i="32"/>
  <c r="B28" i="32" s="1"/>
  <c r="T19" i="32"/>
  <c r="C19" i="32"/>
  <c r="D19" i="32" s="1"/>
  <c r="T18" i="32"/>
  <c r="C18" i="32"/>
  <c r="D18" i="32" s="1"/>
  <c r="T17" i="32"/>
  <c r="C17" i="32"/>
  <c r="D17" i="32" s="1"/>
  <c r="T16" i="32"/>
  <c r="C16" i="32"/>
  <c r="D16" i="32" s="1"/>
  <c r="T15" i="32"/>
  <c r="C15" i="32"/>
  <c r="D15" i="32" s="1"/>
  <c r="T14" i="32"/>
  <c r="C14" i="32"/>
  <c r="D14" i="32" s="1"/>
  <c r="T13" i="32"/>
  <c r="C13" i="32"/>
  <c r="D13" i="32" s="1"/>
  <c r="T12" i="32"/>
  <c r="C12" i="32"/>
  <c r="D12" i="32" s="1"/>
  <c r="T11" i="32"/>
  <c r="C11" i="32"/>
  <c r="D11" i="32" s="1"/>
  <c r="T10" i="32"/>
  <c r="C10" i="32"/>
  <c r="D10" i="32" s="1"/>
  <c r="T9" i="32"/>
  <c r="C9" i="32"/>
  <c r="D9" i="32" s="1"/>
  <c r="T8" i="32"/>
  <c r="C8" i="32"/>
  <c r="D8" i="32" s="1"/>
  <c r="T7" i="32"/>
  <c r="C7" i="32"/>
  <c r="D7" i="32" s="1"/>
  <c r="T6" i="32"/>
  <c r="C6" i="32"/>
  <c r="D6" i="32" s="1"/>
  <c r="T5" i="32"/>
  <c r="C5" i="32"/>
  <c r="D5" i="32" s="1"/>
  <c r="T4" i="32"/>
  <c r="C4" i="32"/>
  <c r="D4" i="32" s="1"/>
  <c r="M24" i="30"/>
  <c r="C17" i="30"/>
  <c r="D17" i="30" s="1"/>
  <c r="T17" i="30"/>
  <c r="C18" i="30"/>
  <c r="D18" i="30" s="1"/>
  <c r="T18" i="30"/>
  <c r="C19" i="30"/>
  <c r="D19" i="30" s="1"/>
  <c r="T19" i="30"/>
  <c r="C14" i="30"/>
  <c r="D14" i="30" s="1"/>
  <c r="T14" i="30"/>
  <c r="C15" i="30"/>
  <c r="D15" i="30" s="1"/>
  <c r="T15" i="30"/>
  <c r="C16" i="30"/>
  <c r="D16" i="30" s="1"/>
  <c r="T16" i="30"/>
  <c r="B23" i="30"/>
  <c r="G19" i="30" s="1"/>
  <c r="Z5" i="33" l="1"/>
  <c r="L5" i="33"/>
  <c r="L11" i="33"/>
  <c r="Z17" i="33"/>
  <c r="L17" i="33"/>
  <c r="E18" i="34"/>
  <c r="L18" i="34"/>
  <c r="Z4" i="35"/>
  <c r="L5" i="32"/>
  <c r="M5" i="32" s="1"/>
  <c r="Z19" i="32"/>
  <c r="E16" i="30"/>
  <c r="S16" i="30" s="1"/>
  <c r="M23" i="32"/>
  <c r="F21" i="32" s="1"/>
  <c r="J20" i="32"/>
  <c r="L12" i="33"/>
  <c r="Z12" i="34"/>
  <c r="L12" i="34"/>
  <c r="Z5" i="35"/>
  <c r="L8" i="32"/>
  <c r="E10" i="34"/>
  <c r="L10" i="34"/>
  <c r="G6" i="32"/>
  <c r="E17" i="32"/>
  <c r="S17" i="32" s="1"/>
  <c r="L17" i="32"/>
  <c r="O17" i="32" s="1"/>
  <c r="L9" i="33"/>
  <c r="G10" i="32"/>
  <c r="L6" i="33"/>
  <c r="G9" i="33"/>
  <c r="L15" i="33"/>
  <c r="N15" i="33" s="1"/>
  <c r="L18" i="33"/>
  <c r="Z15" i="32"/>
  <c r="L15" i="32"/>
  <c r="L19" i="30"/>
  <c r="Z8" i="35"/>
  <c r="M23" i="30"/>
  <c r="F21" i="30" s="1"/>
  <c r="J20" i="30"/>
  <c r="E7" i="32"/>
  <c r="L7" i="32"/>
  <c r="G14" i="32"/>
  <c r="Z17" i="32"/>
  <c r="Z13" i="33"/>
  <c r="L13" i="33"/>
  <c r="G15" i="33"/>
  <c r="E10" i="33"/>
  <c r="R10" i="33" s="1"/>
  <c r="L10" i="33"/>
  <c r="N10" i="33" s="1"/>
  <c r="G13" i="33"/>
  <c r="L19" i="33"/>
  <c r="Z4" i="34"/>
  <c r="L4" i="34"/>
  <c r="M23" i="35"/>
  <c r="F21" i="35" s="1"/>
  <c r="J20" i="35"/>
  <c r="Z18" i="35"/>
  <c r="G6" i="33"/>
  <c r="G11" i="33"/>
  <c r="G16" i="33"/>
  <c r="G7" i="33"/>
  <c r="G12" i="33"/>
  <c r="G18" i="33"/>
  <c r="Z9" i="33"/>
  <c r="G18" i="32"/>
  <c r="G7" i="32"/>
  <c r="G15" i="32"/>
  <c r="G19" i="32"/>
  <c r="G11" i="32"/>
  <c r="G4" i="32"/>
  <c r="G8" i="32"/>
  <c r="G12" i="32"/>
  <c r="G16" i="32"/>
  <c r="B27" i="32"/>
  <c r="B29" i="32" s="1"/>
  <c r="G5" i="32"/>
  <c r="G9" i="32"/>
  <c r="G13" i="32"/>
  <c r="G17" i="32"/>
  <c r="E19" i="30"/>
  <c r="R19" i="30" s="1"/>
  <c r="Z14" i="35"/>
  <c r="E15" i="30"/>
  <c r="R15" i="30" s="1"/>
  <c r="Z10" i="35"/>
  <c r="E18" i="35"/>
  <c r="R18" i="35" s="1"/>
  <c r="G18" i="30"/>
  <c r="G16" i="30"/>
  <c r="G15" i="30"/>
  <c r="G14" i="30"/>
  <c r="E15" i="32"/>
  <c r="S15" i="32" s="1"/>
  <c r="B28" i="33"/>
  <c r="B29" i="33" s="1"/>
  <c r="G17" i="30"/>
  <c r="N14" i="34"/>
  <c r="E6" i="35"/>
  <c r="S6" i="35" s="1"/>
  <c r="E14" i="35"/>
  <c r="S14" i="35" s="1"/>
  <c r="E10" i="35"/>
  <c r="R10" i="35" s="1"/>
  <c r="Z6" i="35"/>
  <c r="Z11" i="35"/>
  <c r="E11" i="35"/>
  <c r="Z19" i="35"/>
  <c r="E19" i="35"/>
  <c r="E4" i="35"/>
  <c r="R14" i="35"/>
  <c r="Z15" i="35"/>
  <c r="E15" i="35"/>
  <c r="E8" i="35"/>
  <c r="E12" i="35"/>
  <c r="Z7" i="35"/>
  <c r="E7" i="35"/>
  <c r="E16" i="35"/>
  <c r="Z16" i="35"/>
  <c r="Z12" i="35"/>
  <c r="G6" i="35"/>
  <c r="G14" i="35"/>
  <c r="G18" i="35"/>
  <c r="Z9" i="35"/>
  <c r="Z13" i="35"/>
  <c r="Z17" i="35"/>
  <c r="G10" i="35"/>
  <c r="G7" i="35"/>
  <c r="G11" i="35"/>
  <c r="G15" i="35"/>
  <c r="G19" i="35"/>
  <c r="B27" i="35"/>
  <c r="B17" i="35" s="1"/>
  <c r="B28" i="35"/>
  <c r="G4" i="35"/>
  <c r="E5" i="35"/>
  <c r="G8" i="35"/>
  <c r="E9" i="35"/>
  <c r="G12" i="35"/>
  <c r="E13" i="35"/>
  <c r="G16" i="35"/>
  <c r="E17" i="35"/>
  <c r="N6" i="34"/>
  <c r="U6" i="34"/>
  <c r="V6" i="34" s="1"/>
  <c r="M6" i="34"/>
  <c r="E15" i="34"/>
  <c r="U15" i="34"/>
  <c r="Z15" i="34"/>
  <c r="Z19" i="34"/>
  <c r="E19" i="34"/>
  <c r="U19" i="34"/>
  <c r="E11" i="34"/>
  <c r="U11" i="34"/>
  <c r="Z11" i="34"/>
  <c r="E7" i="34"/>
  <c r="Z7" i="34"/>
  <c r="O4" i="34"/>
  <c r="Z10" i="34"/>
  <c r="E13" i="34"/>
  <c r="U13" i="34"/>
  <c r="Z13" i="34"/>
  <c r="M14" i="34"/>
  <c r="Z18" i="34"/>
  <c r="E5" i="34"/>
  <c r="Z5" i="34"/>
  <c r="E16" i="34"/>
  <c r="U16" i="34"/>
  <c r="E8" i="34"/>
  <c r="U8" i="34"/>
  <c r="Z6" i="34"/>
  <c r="O6" i="34"/>
  <c r="Z8" i="34"/>
  <c r="O10" i="34"/>
  <c r="U14" i="34"/>
  <c r="Z16" i="34"/>
  <c r="N18" i="34"/>
  <c r="G16" i="34"/>
  <c r="G12" i="34"/>
  <c r="G8" i="34"/>
  <c r="G4" i="34"/>
  <c r="B27" i="34"/>
  <c r="B9" i="34" s="1"/>
  <c r="G19" i="34"/>
  <c r="G15" i="34"/>
  <c r="B28" i="34"/>
  <c r="G11" i="34"/>
  <c r="G18" i="34"/>
  <c r="G14" i="34"/>
  <c r="G10" i="34"/>
  <c r="E4" i="34"/>
  <c r="S10" i="34"/>
  <c r="R10" i="34"/>
  <c r="S18" i="34"/>
  <c r="R18" i="34"/>
  <c r="E6" i="34"/>
  <c r="E9" i="34"/>
  <c r="M9" i="34"/>
  <c r="Z9" i="34"/>
  <c r="Z14" i="34"/>
  <c r="O14" i="34"/>
  <c r="E17" i="34"/>
  <c r="Z17" i="34"/>
  <c r="E12" i="34"/>
  <c r="U12" i="34"/>
  <c r="E14" i="34"/>
  <c r="M12" i="34"/>
  <c r="M5" i="34"/>
  <c r="E14" i="33"/>
  <c r="S14" i="33" s="1"/>
  <c r="E18" i="33"/>
  <c r="S18" i="33" s="1"/>
  <c r="Z11" i="33"/>
  <c r="E11" i="33"/>
  <c r="O11" i="33"/>
  <c r="Z19" i="33"/>
  <c r="E19" i="33"/>
  <c r="O19" i="33"/>
  <c r="Z7" i="33"/>
  <c r="E7" i="33"/>
  <c r="O7" i="33"/>
  <c r="U18" i="33"/>
  <c r="M18" i="33"/>
  <c r="O18" i="33"/>
  <c r="B19" i="33"/>
  <c r="F17" i="33"/>
  <c r="H17" i="33" s="1"/>
  <c r="K17" i="33" s="1"/>
  <c r="B15" i="33"/>
  <c r="F13" i="33"/>
  <c r="H13" i="33" s="1"/>
  <c r="B11" i="33"/>
  <c r="F9" i="33"/>
  <c r="H9" i="33" s="1"/>
  <c r="B7" i="33"/>
  <c r="F5" i="33"/>
  <c r="H5" i="33" s="1"/>
  <c r="K5" i="33" s="1"/>
  <c r="B18" i="33"/>
  <c r="F16" i="33"/>
  <c r="H16" i="33" s="1"/>
  <c r="I16" i="33" s="1"/>
  <c r="B14" i="33"/>
  <c r="F12" i="33"/>
  <c r="B10" i="33"/>
  <c r="F8" i="33"/>
  <c r="H8" i="33" s="1"/>
  <c r="I8" i="33" s="1"/>
  <c r="B6" i="33"/>
  <c r="F4" i="33"/>
  <c r="H4" i="33" s="1"/>
  <c r="I4" i="33" s="1"/>
  <c r="B17" i="33"/>
  <c r="F15" i="33"/>
  <c r="H15" i="33" s="1"/>
  <c r="I15" i="33" s="1"/>
  <c r="B9" i="33"/>
  <c r="F7" i="33"/>
  <c r="F19" i="33"/>
  <c r="H19" i="33" s="1"/>
  <c r="I19" i="33" s="1"/>
  <c r="B13" i="33"/>
  <c r="F11" i="33"/>
  <c r="H11" i="33" s="1"/>
  <c r="I11" i="33" s="1"/>
  <c r="B5" i="33"/>
  <c r="F18" i="33"/>
  <c r="H18" i="33" s="1"/>
  <c r="I18" i="33" s="1"/>
  <c r="B16" i="33"/>
  <c r="F14" i="33"/>
  <c r="H14" i="33" s="1"/>
  <c r="I14" i="33" s="1"/>
  <c r="B12" i="33"/>
  <c r="F10" i="33"/>
  <c r="H10" i="33" s="1"/>
  <c r="I10" i="33" s="1"/>
  <c r="B8" i="33"/>
  <c r="F6" i="33"/>
  <c r="B4" i="33"/>
  <c r="E8" i="33"/>
  <c r="U8" i="33"/>
  <c r="Z8" i="33"/>
  <c r="U4" i="33"/>
  <c r="E4" i="33"/>
  <c r="Z4" i="33"/>
  <c r="E12" i="33"/>
  <c r="U12" i="33"/>
  <c r="Z12" i="33"/>
  <c r="E16" i="33"/>
  <c r="U16" i="33"/>
  <c r="Z16" i="33"/>
  <c r="U14" i="33"/>
  <c r="O14" i="33"/>
  <c r="M14" i="33"/>
  <c r="U6" i="33"/>
  <c r="M6" i="33"/>
  <c r="O6" i="33"/>
  <c r="Z15" i="33"/>
  <c r="E15" i="33"/>
  <c r="E6" i="33"/>
  <c r="N6" i="33"/>
  <c r="N14" i="33"/>
  <c r="N18" i="33"/>
  <c r="M4" i="33"/>
  <c r="K9" i="33"/>
  <c r="K13" i="33"/>
  <c r="Z6" i="33"/>
  <c r="U9" i="33"/>
  <c r="Z10" i="33"/>
  <c r="Z14" i="33"/>
  <c r="Z18" i="33"/>
  <c r="E5" i="33"/>
  <c r="E9" i="33"/>
  <c r="E13" i="33"/>
  <c r="K14" i="33"/>
  <c r="E17" i="33"/>
  <c r="K18" i="33"/>
  <c r="U5" i="32"/>
  <c r="W5" i="32" s="1"/>
  <c r="E5" i="32"/>
  <c r="Z5" i="32"/>
  <c r="Z13" i="32"/>
  <c r="Z7" i="32"/>
  <c r="E8" i="32"/>
  <c r="Z8" i="32"/>
  <c r="N8" i="32"/>
  <c r="S7" i="32"/>
  <c r="R7" i="32"/>
  <c r="E16" i="32"/>
  <c r="Z16" i="32"/>
  <c r="Z18" i="32"/>
  <c r="E18" i="32"/>
  <c r="Z14" i="32"/>
  <c r="E14" i="32"/>
  <c r="Z6" i="32"/>
  <c r="E12" i="32"/>
  <c r="Z12" i="32"/>
  <c r="Z9" i="32"/>
  <c r="E11" i="32"/>
  <c r="Z4" i="32"/>
  <c r="E4" i="32"/>
  <c r="E9" i="32"/>
  <c r="Z11" i="32"/>
  <c r="E13" i="32"/>
  <c r="E6" i="32"/>
  <c r="E19" i="32"/>
  <c r="Z10" i="32"/>
  <c r="E10" i="32"/>
  <c r="F18" i="32"/>
  <c r="H18" i="32" s="1"/>
  <c r="I18" i="32" s="1"/>
  <c r="E17" i="30"/>
  <c r="Z17" i="30"/>
  <c r="S19" i="30"/>
  <c r="E18" i="30"/>
  <c r="Z19" i="30"/>
  <c r="Z18" i="30"/>
  <c r="Z14" i="30"/>
  <c r="E14" i="30"/>
  <c r="S15" i="30"/>
  <c r="Z16" i="30"/>
  <c r="R16" i="30"/>
  <c r="Z15" i="30"/>
  <c r="G32" i="30"/>
  <c r="G28" i="30"/>
  <c r="G12" i="30"/>
  <c r="T13" i="30"/>
  <c r="C13" i="30"/>
  <c r="D13" i="30" s="1"/>
  <c r="T12" i="30"/>
  <c r="C12" i="30"/>
  <c r="D12" i="30" s="1"/>
  <c r="L12" i="30" s="1"/>
  <c r="T11" i="30"/>
  <c r="C11" i="30"/>
  <c r="D11" i="30" s="1"/>
  <c r="L11" i="30" s="1"/>
  <c r="T10" i="30"/>
  <c r="C10" i="30"/>
  <c r="D10" i="30" s="1"/>
  <c r="L10" i="30" s="1"/>
  <c r="T9" i="30"/>
  <c r="C9" i="30"/>
  <c r="D9" i="30" s="1"/>
  <c r="T8" i="30"/>
  <c r="C8" i="30"/>
  <c r="D8" i="30" s="1"/>
  <c r="L8" i="30" s="1"/>
  <c r="T7" i="30"/>
  <c r="C7" i="30"/>
  <c r="D7" i="30" s="1"/>
  <c r="L7" i="30" s="1"/>
  <c r="T6" i="30"/>
  <c r="C6" i="30"/>
  <c r="D6" i="30" s="1"/>
  <c r="L6" i="30" s="1"/>
  <c r="T5" i="30"/>
  <c r="C5" i="30"/>
  <c r="D5" i="30" s="1"/>
  <c r="T4" i="30"/>
  <c r="C4" i="30"/>
  <c r="D4" i="30" s="1"/>
  <c r="L4" i="30" s="1"/>
  <c r="F4" i="32" l="1"/>
  <c r="H4" i="32" s="1"/>
  <c r="I4" i="32" s="1"/>
  <c r="B4" i="32"/>
  <c r="K16" i="33"/>
  <c r="S10" i="33"/>
  <c r="H6" i="33"/>
  <c r="I6" i="33" s="1"/>
  <c r="L13" i="32"/>
  <c r="O13" i="32" s="1"/>
  <c r="E13" i="30"/>
  <c r="R13" i="30" s="1"/>
  <c r="L13" i="30"/>
  <c r="B16" i="32"/>
  <c r="L18" i="35"/>
  <c r="B14" i="32"/>
  <c r="F14" i="32"/>
  <c r="H14" i="32" s="1"/>
  <c r="I14" i="32" s="1"/>
  <c r="N5" i="32"/>
  <c r="O5" i="32"/>
  <c r="L6" i="35"/>
  <c r="L18" i="32"/>
  <c r="N18" i="32" s="1"/>
  <c r="L12" i="35"/>
  <c r="U12" i="35" s="1"/>
  <c r="L10" i="32"/>
  <c r="L11" i="35"/>
  <c r="U11" i="35" s="1"/>
  <c r="E9" i="30"/>
  <c r="L9" i="30"/>
  <c r="L17" i="35"/>
  <c r="U17" i="35" s="1"/>
  <c r="V17" i="35" s="1"/>
  <c r="L19" i="35"/>
  <c r="U19" i="35" s="1"/>
  <c r="V19" i="35" s="1"/>
  <c r="W15" i="30"/>
  <c r="F12" i="32"/>
  <c r="H12" i="32" s="1"/>
  <c r="J12" i="32" s="1"/>
  <c r="B12" i="32"/>
  <c r="B19" i="32"/>
  <c r="L14" i="35"/>
  <c r="L13" i="35"/>
  <c r="U13" i="35" s="1"/>
  <c r="L11" i="32"/>
  <c r="U11" i="32" s="1"/>
  <c r="L14" i="32"/>
  <c r="N14" i="32" s="1"/>
  <c r="L15" i="35"/>
  <c r="U15" i="35" s="1"/>
  <c r="L5" i="35"/>
  <c r="U5" i="35" s="1"/>
  <c r="L18" i="30"/>
  <c r="L4" i="35"/>
  <c r="U4" i="35" s="1"/>
  <c r="L7" i="35"/>
  <c r="L14" i="30"/>
  <c r="L6" i="32"/>
  <c r="O6" i="32" s="1"/>
  <c r="L16" i="30"/>
  <c r="N16" i="30" s="1"/>
  <c r="L16" i="32"/>
  <c r="B10" i="32"/>
  <c r="F10" i="32"/>
  <c r="H10" i="32" s="1"/>
  <c r="I10" i="32" s="1"/>
  <c r="R17" i="32"/>
  <c r="J10" i="33"/>
  <c r="F8" i="32"/>
  <c r="H8" i="32" s="1"/>
  <c r="I8" i="32" s="1"/>
  <c r="B8" i="32"/>
  <c r="L8" i="35"/>
  <c r="U8" i="35" s="1"/>
  <c r="V8" i="35" s="1"/>
  <c r="L16" i="35"/>
  <c r="U16" i="35" s="1"/>
  <c r="L17" i="30"/>
  <c r="L12" i="32"/>
  <c r="L9" i="32"/>
  <c r="N9" i="32" s="1"/>
  <c r="E5" i="30"/>
  <c r="L5" i="30"/>
  <c r="B18" i="32"/>
  <c r="B6" i="32"/>
  <c r="F6" i="32"/>
  <c r="H6" i="32" s="1"/>
  <c r="I6" i="32" s="1"/>
  <c r="K10" i="33"/>
  <c r="J19" i="33"/>
  <c r="L10" i="35"/>
  <c r="L9" i="35"/>
  <c r="N9" i="35" s="1"/>
  <c r="L15" i="30"/>
  <c r="U15" i="30" s="1"/>
  <c r="V15" i="30" s="1"/>
  <c r="L19" i="32"/>
  <c r="U19" i="32" s="1"/>
  <c r="L4" i="32"/>
  <c r="S10" i="35"/>
  <c r="M10" i="35"/>
  <c r="N13" i="34"/>
  <c r="B10" i="34"/>
  <c r="B13" i="34"/>
  <c r="B17" i="34"/>
  <c r="B14" i="34"/>
  <c r="B15" i="34"/>
  <c r="B6" i="34"/>
  <c r="J8" i="33"/>
  <c r="H7" i="33"/>
  <c r="I7" i="33" s="1"/>
  <c r="H12" i="33"/>
  <c r="J18" i="33"/>
  <c r="R15" i="32"/>
  <c r="F16" i="32"/>
  <c r="F9" i="32"/>
  <c r="H9" i="32" s="1"/>
  <c r="B9" i="32"/>
  <c r="B5" i="32"/>
  <c r="F13" i="32"/>
  <c r="H13" i="32" s="1"/>
  <c r="B13" i="32"/>
  <c r="F5" i="32"/>
  <c r="H5" i="32" s="1"/>
  <c r="F17" i="32"/>
  <c r="H17" i="32" s="1"/>
  <c r="B17" i="32"/>
  <c r="F7" i="32"/>
  <c r="H7" i="32" s="1"/>
  <c r="J7" i="32" s="1"/>
  <c r="F11" i="32"/>
  <c r="H11" i="32" s="1"/>
  <c r="B11" i="32"/>
  <c r="F19" i="32"/>
  <c r="H19" i="32" s="1"/>
  <c r="F15" i="32"/>
  <c r="H15" i="32" s="1"/>
  <c r="B15" i="32"/>
  <c r="B7" i="32"/>
  <c r="H16" i="32"/>
  <c r="K15" i="33"/>
  <c r="J16" i="33"/>
  <c r="J4" i="32"/>
  <c r="J14" i="33"/>
  <c r="P14" i="33" s="1"/>
  <c r="M16" i="33"/>
  <c r="O12" i="34"/>
  <c r="M11" i="35"/>
  <c r="N17" i="30"/>
  <c r="M15" i="30"/>
  <c r="K6" i="33"/>
  <c r="M12" i="33"/>
  <c r="M11" i="34"/>
  <c r="J6" i="32"/>
  <c r="P6" i="32" s="1"/>
  <c r="B5" i="34"/>
  <c r="B18" i="34"/>
  <c r="S18" i="35"/>
  <c r="N14" i="35"/>
  <c r="O17" i="30"/>
  <c r="M12" i="35"/>
  <c r="K7" i="32"/>
  <c r="J15" i="33"/>
  <c r="B6" i="35"/>
  <c r="O5" i="35"/>
  <c r="M14" i="35"/>
  <c r="M5" i="35"/>
  <c r="B13" i="35"/>
  <c r="Q18" i="33"/>
  <c r="Q14" i="33"/>
  <c r="Q6" i="33"/>
  <c r="N15" i="30"/>
  <c r="O15" i="30"/>
  <c r="O13" i="35"/>
  <c r="M13" i="35"/>
  <c r="N13" i="35"/>
  <c r="N12" i="35"/>
  <c r="R6" i="35"/>
  <c r="O12" i="35"/>
  <c r="O11" i="35"/>
  <c r="V4" i="35"/>
  <c r="W4" i="35"/>
  <c r="R11" i="35"/>
  <c r="S11" i="35"/>
  <c r="S17" i="35"/>
  <c r="R17" i="35"/>
  <c r="W15" i="35"/>
  <c r="V15" i="35"/>
  <c r="S5" i="35"/>
  <c r="R5" i="35"/>
  <c r="B7" i="35"/>
  <c r="B9" i="35"/>
  <c r="R16" i="35"/>
  <c r="S16" i="35"/>
  <c r="M15" i="35"/>
  <c r="B18" i="35"/>
  <c r="B14" i="35"/>
  <c r="O16" i="35"/>
  <c r="B19" i="35"/>
  <c r="V13" i="35"/>
  <c r="W13" i="35"/>
  <c r="N16" i="35"/>
  <c r="W12" i="35"/>
  <c r="V12" i="35"/>
  <c r="N5" i="35"/>
  <c r="W11" i="35"/>
  <c r="V11" i="35"/>
  <c r="S12" i="35"/>
  <c r="R12" i="35"/>
  <c r="B29" i="35"/>
  <c r="F17" i="35"/>
  <c r="H17" i="35" s="1"/>
  <c r="F13" i="35"/>
  <c r="H13" i="35" s="1"/>
  <c r="F9" i="35"/>
  <c r="H9" i="35" s="1"/>
  <c r="F5" i="35"/>
  <c r="H5" i="35" s="1"/>
  <c r="F16" i="35"/>
  <c r="H16" i="35" s="1"/>
  <c r="F8" i="35"/>
  <c r="H8" i="35" s="1"/>
  <c r="F12" i="35"/>
  <c r="H12" i="35" s="1"/>
  <c r="F4" i="35"/>
  <c r="H4" i="35" s="1"/>
  <c r="F18" i="35"/>
  <c r="H18" i="35" s="1"/>
  <c r="F14" i="35"/>
  <c r="H14" i="35" s="1"/>
  <c r="F19" i="35"/>
  <c r="H19" i="35" s="1"/>
  <c r="F15" i="35"/>
  <c r="H15" i="35" s="1"/>
  <c r="F11" i="35"/>
  <c r="H11" i="35" s="1"/>
  <c r="F7" i="35"/>
  <c r="H7" i="35" s="1"/>
  <c r="B12" i="35"/>
  <c r="F6" i="35"/>
  <c r="H6" i="35" s="1"/>
  <c r="B8" i="35"/>
  <c r="F10" i="35"/>
  <c r="H10" i="35" s="1"/>
  <c r="B16" i="35"/>
  <c r="B4" i="35"/>
  <c r="O4" i="35"/>
  <c r="S13" i="35"/>
  <c r="R13" i="35"/>
  <c r="O15" i="35"/>
  <c r="N4" i="35"/>
  <c r="M9" i="35"/>
  <c r="V5" i="35"/>
  <c r="W5" i="35"/>
  <c r="S9" i="35"/>
  <c r="R9" i="35"/>
  <c r="B10" i="35"/>
  <c r="B5" i="35"/>
  <c r="M4" i="35"/>
  <c r="N11" i="35"/>
  <c r="V16" i="35"/>
  <c r="W16" i="35"/>
  <c r="S8" i="35"/>
  <c r="R8" i="35"/>
  <c r="B15" i="35"/>
  <c r="N15" i="35"/>
  <c r="S4" i="35"/>
  <c r="R4" i="35"/>
  <c r="M16" i="35"/>
  <c r="W19" i="35"/>
  <c r="U9" i="35"/>
  <c r="O9" i="35"/>
  <c r="R7" i="35"/>
  <c r="S7" i="35"/>
  <c r="B11" i="35"/>
  <c r="R15" i="35"/>
  <c r="S15" i="35"/>
  <c r="R19" i="35"/>
  <c r="S19" i="35"/>
  <c r="N10" i="34"/>
  <c r="W6" i="34"/>
  <c r="M13" i="34"/>
  <c r="O13" i="34"/>
  <c r="N11" i="34"/>
  <c r="N15" i="34"/>
  <c r="N16" i="34"/>
  <c r="O8" i="34"/>
  <c r="O11" i="34"/>
  <c r="U7" i="34"/>
  <c r="M7" i="34"/>
  <c r="N19" i="34"/>
  <c r="W12" i="34"/>
  <c r="V12" i="34"/>
  <c r="U5" i="34"/>
  <c r="N5" i="34"/>
  <c r="R11" i="34"/>
  <c r="S11" i="34"/>
  <c r="O15" i="34"/>
  <c r="M15" i="34"/>
  <c r="S12" i="34"/>
  <c r="R12" i="34"/>
  <c r="R5" i="34"/>
  <c r="S5" i="34"/>
  <c r="U4" i="34"/>
  <c r="M4" i="34"/>
  <c r="S7" i="34"/>
  <c r="R7" i="34"/>
  <c r="S6" i="34"/>
  <c r="R6" i="34"/>
  <c r="M19" i="34"/>
  <c r="U17" i="34"/>
  <c r="O17" i="34"/>
  <c r="N17" i="34"/>
  <c r="M17" i="34"/>
  <c r="O19" i="34"/>
  <c r="N12" i="34"/>
  <c r="S17" i="34"/>
  <c r="R17" i="34"/>
  <c r="M18" i="34"/>
  <c r="U18" i="34"/>
  <c r="W16" i="34"/>
  <c r="V16" i="34"/>
  <c r="O18" i="34"/>
  <c r="W13" i="34"/>
  <c r="V13" i="34"/>
  <c r="N4" i="34"/>
  <c r="N7" i="34"/>
  <c r="U9" i="34"/>
  <c r="O9" i="34"/>
  <c r="N9" i="34"/>
  <c r="S13" i="34"/>
  <c r="R13" i="34"/>
  <c r="O7" i="34"/>
  <c r="W14" i="34"/>
  <c r="V14" i="34"/>
  <c r="W15" i="34"/>
  <c r="V15" i="34"/>
  <c r="M16" i="34"/>
  <c r="S14" i="34"/>
  <c r="R14" i="34"/>
  <c r="S9" i="34"/>
  <c r="R9" i="34"/>
  <c r="R4" i="34"/>
  <c r="S4" i="34"/>
  <c r="B29" i="34"/>
  <c r="F16" i="34"/>
  <c r="H16" i="34" s="1"/>
  <c r="F12" i="34"/>
  <c r="H12" i="34" s="1"/>
  <c r="F8" i="34"/>
  <c r="H8" i="34" s="1"/>
  <c r="F4" i="34"/>
  <c r="H4" i="34" s="1"/>
  <c r="F19" i="34"/>
  <c r="H19" i="34" s="1"/>
  <c r="F15" i="34"/>
  <c r="H15" i="34" s="1"/>
  <c r="F11" i="34"/>
  <c r="H11" i="34" s="1"/>
  <c r="F7" i="34"/>
  <c r="H7" i="34" s="1"/>
  <c r="F17" i="34"/>
  <c r="H17" i="34" s="1"/>
  <c r="F9" i="34"/>
  <c r="H9" i="34" s="1"/>
  <c r="F6" i="34"/>
  <c r="H6" i="34" s="1"/>
  <c r="B19" i="34"/>
  <c r="B11" i="34"/>
  <c r="B12" i="34"/>
  <c r="F13" i="34"/>
  <c r="H13" i="34" s="1"/>
  <c r="B4" i="34"/>
  <c r="F18" i="34"/>
  <c r="H18" i="34" s="1"/>
  <c r="F10" i="34"/>
  <c r="H10" i="34" s="1"/>
  <c r="B7" i="34"/>
  <c r="F5" i="34"/>
  <c r="H5" i="34" s="1"/>
  <c r="B16" i="34"/>
  <c r="B8" i="34"/>
  <c r="F14" i="34"/>
  <c r="H14" i="34" s="1"/>
  <c r="M10" i="34"/>
  <c r="U10" i="34"/>
  <c r="N8" i="34"/>
  <c r="O16" i="34"/>
  <c r="W11" i="34"/>
  <c r="V11" i="34"/>
  <c r="W19" i="34"/>
  <c r="V19" i="34"/>
  <c r="W8" i="34"/>
  <c r="V8" i="34"/>
  <c r="S16" i="34"/>
  <c r="R16" i="34"/>
  <c r="O5" i="34"/>
  <c r="M8" i="34"/>
  <c r="S8" i="34"/>
  <c r="R8" i="34"/>
  <c r="R19" i="34"/>
  <c r="S19" i="34"/>
  <c r="S15" i="34"/>
  <c r="R15" i="34"/>
  <c r="P18" i="33"/>
  <c r="O16" i="33"/>
  <c r="P16" i="33" s="1"/>
  <c r="O15" i="33"/>
  <c r="R18" i="33"/>
  <c r="Q10" i="33"/>
  <c r="R14" i="33"/>
  <c r="S17" i="33"/>
  <c r="R17" i="33"/>
  <c r="R15" i="33"/>
  <c r="S15" i="33"/>
  <c r="W6" i="33"/>
  <c r="V6" i="33"/>
  <c r="S16" i="33"/>
  <c r="R16" i="33"/>
  <c r="N12" i="33"/>
  <c r="O4" i="33"/>
  <c r="N8" i="33"/>
  <c r="I17" i="33"/>
  <c r="J17" i="33"/>
  <c r="N7" i="33"/>
  <c r="S11" i="33"/>
  <c r="R11" i="33"/>
  <c r="O13" i="33"/>
  <c r="U13" i="33"/>
  <c r="M13" i="33"/>
  <c r="N16" i="33"/>
  <c r="Q16" i="33" s="1"/>
  <c r="O12" i="33"/>
  <c r="K4" i="33"/>
  <c r="O8" i="33"/>
  <c r="P8" i="33" s="1"/>
  <c r="S19" i="33"/>
  <c r="R19" i="33"/>
  <c r="V9" i="33"/>
  <c r="W9" i="33"/>
  <c r="W4" i="33"/>
  <c r="V4" i="33"/>
  <c r="I5" i="33"/>
  <c r="J5" i="33"/>
  <c r="S7" i="33"/>
  <c r="R7" i="33"/>
  <c r="P19" i="33"/>
  <c r="J11" i="33"/>
  <c r="P11" i="33" s="1"/>
  <c r="O17" i="33"/>
  <c r="U17" i="33"/>
  <c r="W14" i="33"/>
  <c r="V14" i="33"/>
  <c r="U10" i="33"/>
  <c r="M10" i="33"/>
  <c r="O10" i="33"/>
  <c r="P10" i="33" s="1"/>
  <c r="M9" i="33"/>
  <c r="J6" i="33"/>
  <c r="P6" i="33" s="1"/>
  <c r="S6" i="33"/>
  <c r="R6" i="33"/>
  <c r="J12" i="33"/>
  <c r="J4" i="33"/>
  <c r="I9" i="33"/>
  <c r="J9" i="33"/>
  <c r="K19" i="33"/>
  <c r="O9" i="33"/>
  <c r="S13" i="33"/>
  <c r="R13" i="33"/>
  <c r="N9" i="33"/>
  <c r="Q9" i="33" s="1"/>
  <c r="S9" i="33"/>
  <c r="R9" i="33"/>
  <c r="U5" i="33"/>
  <c r="M5" i="33"/>
  <c r="M8" i="33"/>
  <c r="O5" i="33"/>
  <c r="Q15" i="33"/>
  <c r="K8" i="33"/>
  <c r="W18" i="33"/>
  <c r="V18" i="33"/>
  <c r="N5" i="33"/>
  <c r="Q5" i="33" s="1"/>
  <c r="K11" i="33"/>
  <c r="M17" i="33"/>
  <c r="W12" i="33"/>
  <c r="V12" i="33"/>
  <c r="R4" i="33"/>
  <c r="S4" i="33"/>
  <c r="W8" i="33"/>
  <c r="V8" i="33"/>
  <c r="I13" i="33"/>
  <c r="J13" i="33"/>
  <c r="K7" i="33"/>
  <c r="U19" i="33"/>
  <c r="M19" i="33"/>
  <c r="U11" i="33"/>
  <c r="M11" i="33"/>
  <c r="N17" i="33"/>
  <c r="Q17" i="33" s="1"/>
  <c r="R5" i="33"/>
  <c r="S5" i="33"/>
  <c r="M15" i="33"/>
  <c r="U15" i="33"/>
  <c r="W16" i="33"/>
  <c r="V16" i="33"/>
  <c r="S12" i="33"/>
  <c r="R12" i="33"/>
  <c r="N4" i="33"/>
  <c r="R8" i="33"/>
  <c r="S8" i="33"/>
  <c r="U7" i="33"/>
  <c r="M7" i="33"/>
  <c r="N19" i="33"/>
  <c r="N11" i="33"/>
  <c r="N13" i="33"/>
  <c r="Q13" i="33" s="1"/>
  <c r="V5" i="32"/>
  <c r="O9" i="32"/>
  <c r="O8" i="32"/>
  <c r="S5" i="32"/>
  <c r="R5" i="32"/>
  <c r="U12" i="32"/>
  <c r="M12" i="32"/>
  <c r="R12" i="32"/>
  <c r="S12" i="32"/>
  <c r="K18" i="32"/>
  <c r="Q18" i="32" s="1"/>
  <c r="R6" i="32"/>
  <c r="S6" i="32"/>
  <c r="N19" i="32"/>
  <c r="M19" i="32"/>
  <c r="N12" i="32"/>
  <c r="R14" i="32"/>
  <c r="S14" i="32"/>
  <c r="U18" i="32"/>
  <c r="M18" i="32"/>
  <c r="U16" i="32"/>
  <c r="M16" i="32"/>
  <c r="R8" i="32"/>
  <c r="S8" i="32"/>
  <c r="M17" i="32"/>
  <c r="U17" i="32"/>
  <c r="O19" i="32"/>
  <c r="S11" i="32"/>
  <c r="R11" i="32"/>
  <c r="O18" i="32"/>
  <c r="O16" i="32"/>
  <c r="U9" i="32"/>
  <c r="M9" i="32"/>
  <c r="J14" i="32"/>
  <c r="R18" i="32"/>
  <c r="S18" i="32"/>
  <c r="O12" i="32"/>
  <c r="P12" i="32" s="1"/>
  <c r="S9" i="32"/>
  <c r="R9" i="32"/>
  <c r="R10" i="32"/>
  <c r="S10" i="32"/>
  <c r="S19" i="32"/>
  <c r="R19" i="32"/>
  <c r="S13" i="32"/>
  <c r="R13" i="32"/>
  <c r="R4" i="32"/>
  <c r="S4" i="32"/>
  <c r="U15" i="32"/>
  <c r="N15" i="32"/>
  <c r="M15" i="32"/>
  <c r="J18" i="32"/>
  <c r="R16" i="32"/>
  <c r="S16" i="32"/>
  <c r="K8" i="32"/>
  <c r="Q8" i="32" s="1"/>
  <c r="M7" i="32"/>
  <c r="U7" i="32"/>
  <c r="N7" i="32"/>
  <c r="O15" i="32"/>
  <c r="K6" i="32"/>
  <c r="K14" i="32"/>
  <c r="N16" i="32"/>
  <c r="U8" i="32"/>
  <c r="M8" i="32"/>
  <c r="I12" i="32"/>
  <c r="K12" i="32"/>
  <c r="J10" i="32"/>
  <c r="O7" i="32"/>
  <c r="P7" i="32" s="1"/>
  <c r="K10" i="32"/>
  <c r="K4" i="32"/>
  <c r="N17" i="32"/>
  <c r="J8" i="32"/>
  <c r="P8" i="32" s="1"/>
  <c r="R18" i="30"/>
  <c r="S18" i="30"/>
  <c r="S17" i="30"/>
  <c r="R17" i="30"/>
  <c r="O18" i="30"/>
  <c r="N18" i="30"/>
  <c r="M18" i="30"/>
  <c r="U18" i="30"/>
  <c r="M19" i="30"/>
  <c r="O19" i="30"/>
  <c r="U19" i="30"/>
  <c r="N19" i="30"/>
  <c r="M17" i="30"/>
  <c r="U17" i="30"/>
  <c r="M14" i="30"/>
  <c r="U14" i="30"/>
  <c r="O14" i="30"/>
  <c r="M16" i="30"/>
  <c r="N14" i="30"/>
  <c r="R14" i="30"/>
  <c r="S14" i="30"/>
  <c r="Z7" i="30"/>
  <c r="Z11" i="30"/>
  <c r="Z8" i="30"/>
  <c r="Z12" i="30"/>
  <c r="E4" i="30"/>
  <c r="O4" i="30"/>
  <c r="Z4" i="30"/>
  <c r="S9" i="30"/>
  <c r="R9" i="30"/>
  <c r="S5" i="30"/>
  <c r="R5" i="30"/>
  <c r="G5" i="30"/>
  <c r="E6" i="30"/>
  <c r="G9" i="30"/>
  <c r="E10" i="30"/>
  <c r="G13" i="30"/>
  <c r="O7" i="30"/>
  <c r="N11" i="30"/>
  <c r="G6" i="30"/>
  <c r="E7" i="30"/>
  <c r="G10" i="30"/>
  <c r="E11" i="30"/>
  <c r="B27" i="30"/>
  <c r="B8" i="30" s="1"/>
  <c r="O6" i="30"/>
  <c r="Z5" i="30"/>
  <c r="Z9" i="30"/>
  <c r="O12" i="30"/>
  <c r="Z13" i="30"/>
  <c r="B28" i="30"/>
  <c r="G7" i="30"/>
  <c r="E8" i="30"/>
  <c r="G11" i="30"/>
  <c r="E12" i="30"/>
  <c r="O5" i="30"/>
  <c r="Z6" i="30"/>
  <c r="Z10" i="30"/>
  <c r="O13" i="30"/>
  <c r="O10" i="30"/>
  <c r="G4" i="30"/>
  <c r="G8" i="30"/>
  <c r="S13" i="30" l="1"/>
  <c r="U16" i="30"/>
  <c r="Q14" i="32"/>
  <c r="M6" i="32"/>
  <c r="N17" i="35"/>
  <c r="M4" i="32"/>
  <c r="U4" i="32"/>
  <c r="N4" i="32"/>
  <c r="O4" i="32"/>
  <c r="N8" i="35"/>
  <c r="Q7" i="32"/>
  <c r="U13" i="32"/>
  <c r="N11" i="32"/>
  <c r="O11" i="32"/>
  <c r="M13" i="32"/>
  <c r="O19" i="35"/>
  <c r="M8" i="35"/>
  <c r="P4" i="32"/>
  <c r="U7" i="35"/>
  <c r="M7" i="35"/>
  <c r="O7" i="35"/>
  <c r="N7" i="35"/>
  <c r="O14" i="35"/>
  <c r="U14" i="35"/>
  <c r="M14" i="32"/>
  <c r="N13" i="32"/>
  <c r="N6" i="32"/>
  <c r="W8" i="35"/>
  <c r="M17" i="35"/>
  <c r="O16" i="30"/>
  <c r="U10" i="35"/>
  <c r="O10" i="35"/>
  <c r="U14" i="32"/>
  <c r="M19" i="35"/>
  <c r="W17" i="35"/>
  <c r="O8" i="35"/>
  <c r="N10" i="35"/>
  <c r="M10" i="32"/>
  <c r="U10" i="32"/>
  <c r="O10" i="32"/>
  <c r="N10" i="32"/>
  <c r="Q10" i="32" s="1"/>
  <c r="N18" i="35"/>
  <c r="M18" i="35"/>
  <c r="U18" i="35"/>
  <c r="O18" i="35"/>
  <c r="N6" i="35"/>
  <c r="U6" i="35"/>
  <c r="O6" i="35"/>
  <c r="M6" i="35"/>
  <c r="P10" i="32"/>
  <c r="Q4" i="32"/>
  <c r="U6" i="32"/>
  <c r="M11" i="32"/>
  <c r="O14" i="32"/>
  <c r="P14" i="32" s="1"/>
  <c r="O17" i="35"/>
  <c r="N19" i="35"/>
  <c r="J7" i="33"/>
  <c r="P7" i="33" s="1"/>
  <c r="X14" i="33"/>
  <c r="I12" i="33"/>
  <c r="K12" i="33"/>
  <c r="Q12" i="33" s="1"/>
  <c r="X12" i="33" s="1"/>
  <c r="I15" i="32"/>
  <c r="J15" i="32"/>
  <c r="P15" i="32" s="1"/>
  <c r="K15" i="32"/>
  <c r="I19" i="32"/>
  <c r="K19" i="32"/>
  <c r="Q19" i="32" s="1"/>
  <c r="J19" i="32"/>
  <c r="P19" i="32" s="1"/>
  <c r="I7" i="32"/>
  <c r="I11" i="32"/>
  <c r="J11" i="32"/>
  <c r="K11" i="32"/>
  <c r="I17" i="32"/>
  <c r="K17" i="32"/>
  <c r="Q17" i="32" s="1"/>
  <c r="J17" i="32"/>
  <c r="P17" i="32" s="1"/>
  <c r="J5" i="32"/>
  <c r="P5" i="32" s="1"/>
  <c r="I5" i="32"/>
  <c r="K5" i="32"/>
  <c r="Q5" i="32" s="1"/>
  <c r="X5" i="32" s="1"/>
  <c r="Y5" i="32" s="1"/>
  <c r="AA5" i="32" s="1"/>
  <c r="P16" i="32"/>
  <c r="Q15" i="32"/>
  <c r="I13" i="32"/>
  <c r="K13" i="32"/>
  <c r="Q13" i="32" s="1"/>
  <c r="J13" i="32"/>
  <c r="P13" i="32" s="1"/>
  <c r="I9" i="32"/>
  <c r="K9" i="32"/>
  <c r="Q9" i="32" s="1"/>
  <c r="J9" i="32"/>
  <c r="P9" i="32" s="1"/>
  <c r="I16" i="32"/>
  <c r="K16" i="32"/>
  <c r="Q16" i="32" s="1"/>
  <c r="J16" i="32"/>
  <c r="X18" i="33"/>
  <c r="Y18" i="33" s="1"/>
  <c r="AA18" i="33" s="1"/>
  <c r="X6" i="33"/>
  <c r="Y6" i="33" s="1"/>
  <c r="AA6" i="33" s="1"/>
  <c r="P15" i="33"/>
  <c r="B12" i="30"/>
  <c r="F14" i="30"/>
  <c r="H14" i="30" s="1"/>
  <c r="F15" i="30"/>
  <c r="H15" i="30" s="1"/>
  <c r="F16" i="30"/>
  <c r="H16" i="30" s="1"/>
  <c r="F17" i="30"/>
  <c r="H17" i="30" s="1"/>
  <c r="F18" i="30"/>
  <c r="H18" i="30" s="1"/>
  <c r="F19" i="30"/>
  <c r="H19" i="30" s="1"/>
  <c r="B17" i="30"/>
  <c r="B19" i="30"/>
  <c r="B18" i="30"/>
  <c r="B14" i="30"/>
  <c r="B16" i="30"/>
  <c r="B15" i="30"/>
  <c r="B10" i="30"/>
  <c r="Q12" i="32"/>
  <c r="Y14" i="33"/>
  <c r="AA14" i="33" s="1"/>
  <c r="Q19" i="33"/>
  <c r="Q8" i="33"/>
  <c r="X8" i="33" s="1"/>
  <c r="Y8" i="33" s="1"/>
  <c r="AA8" i="33" s="1"/>
  <c r="P12" i="33"/>
  <c r="Q7" i="33"/>
  <c r="P5" i="33"/>
  <c r="P9" i="33"/>
  <c r="P4" i="33"/>
  <c r="P18" i="32"/>
  <c r="J14" i="35"/>
  <c r="I14" i="35"/>
  <c r="K14" i="35"/>
  <c r="Q14" i="35" s="1"/>
  <c r="J6" i="35"/>
  <c r="P6" i="35" s="1"/>
  <c r="I6" i="35"/>
  <c r="K6" i="35"/>
  <c r="Q6" i="35" s="1"/>
  <c r="J4" i="35"/>
  <c r="P4" i="35" s="1"/>
  <c r="I4" i="35"/>
  <c r="K4" i="35"/>
  <c r="Q4" i="35" s="1"/>
  <c r="X4" i="35" s="1"/>
  <c r="I12" i="35"/>
  <c r="J12" i="35"/>
  <c r="P12" i="35" s="1"/>
  <c r="K12" i="35"/>
  <c r="Q12" i="35" s="1"/>
  <c r="X12" i="35" s="1"/>
  <c r="I8" i="35"/>
  <c r="K8" i="35"/>
  <c r="Q8" i="35" s="1"/>
  <c r="X8" i="35" s="1"/>
  <c r="J8" i="35"/>
  <c r="P8" i="35" s="1"/>
  <c r="I16" i="35"/>
  <c r="K16" i="35"/>
  <c r="Q16" i="35" s="1"/>
  <c r="X16" i="35" s="1"/>
  <c r="J16" i="35"/>
  <c r="P16" i="35" s="1"/>
  <c r="I15" i="35"/>
  <c r="J15" i="35"/>
  <c r="P15" i="35" s="1"/>
  <c r="K15" i="35"/>
  <c r="Q15" i="35" s="1"/>
  <c r="X15" i="35" s="1"/>
  <c r="I5" i="35"/>
  <c r="K5" i="35"/>
  <c r="Q5" i="35" s="1"/>
  <c r="X5" i="35" s="1"/>
  <c r="J5" i="35"/>
  <c r="P5" i="35" s="1"/>
  <c r="I13" i="35"/>
  <c r="J13" i="35"/>
  <c r="P13" i="35" s="1"/>
  <c r="K13" i="35"/>
  <c r="Q13" i="35" s="1"/>
  <c r="X13" i="35" s="1"/>
  <c r="I7" i="35"/>
  <c r="J7" i="35"/>
  <c r="P7" i="35" s="1"/>
  <c r="K7" i="35"/>
  <c r="Q7" i="35" s="1"/>
  <c r="I11" i="35"/>
  <c r="J11" i="35"/>
  <c r="P11" i="35" s="1"/>
  <c r="K11" i="35"/>
  <c r="Q11" i="35" s="1"/>
  <c r="X11" i="35" s="1"/>
  <c r="I19" i="35"/>
  <c r="K19" i="35"/>
  <c r="Q19" i="35" s="1"/>
  <c r="X19" i="35" s="1"/>
  <c r="J19" i="35"/>
  <c r="P19" i="35" s="1"/>
  <c r="I9" i="35"/>
  <c r="J9" i="35"/>
  <c r="P9" i="35" s="1"/>
  <c r="K9" i="35"/>
  <c r="Q9" i="35" s="1"/>
  <c r="J10" i="35"/>
  <c r="P10" i="35" s="1"/>
  <c r="I10" i="35"/>
  <c r="K10" i="35"/>
  <c r="V9" i="35"/>
  <c r="W9" i="35"/>
  <c r="J18" i="35"/>
  <c r="P18" i="35" s="1"/>
  <c r="I18" i="35"/>
  <c r="K18" i="35"/>
  <c r="Q18" i="35" s="1"/>
  <c r="I17" i="35"/>
  <c r="J17" i="35"/>
  <c r="P17" i="35" s="1"/>
  <c r="K17" i="35"/>
  <c r="Q17" i="35" s="1"/>
  <c r="X17" i="35" s="1"/>
  <c r="W10" i="34"/>
  <c r="V10" i="34"/>
  <c r="I17" i="34"/>
  <c r="J17" i="34"/>
  <c r="P17" i="34" s="1"/>
  <c r="K17" i="34"/>
  <c r="Q17" i="34" s="1"/>
  <c r="W7" i="34"/>
  <c r="V7" i="34"/>
  <c r="I14" i="34"/>
  <c r="J14" i="34"/>
  <c r="P14" i="34" s="1"/>
  <c r="K14" i="34"/>
  <c r="Q14" i="34" s="1"/>
  <c r="X14" i="34" s="1"/>
  <c r="I13" i="34"/>
  <c r="J13" i="34"/>
  <c r="P13" i="34" s="1"/>
  <c r="K13" i="34"/>
  <c r="Q13" i="34" s="1"/>
  <c r="X13" i="34" s="1"/>
  <c r="I11" i="34"/>
  <c r="J11" i="34"/>
  <c r="P11" i="34" s="1"/>
  <c r="K11" i="34"/>
  <c r="Q11" i="34" s="1"/>
  <c r="X11" i="34" s="1"/>
  <c r="W9" i="34"/>
  <c r="V9" i="34"/>
  <c r="W18" i="34"/>
  <c r="V18" i="34"/>
  <c r="W4" i="34"/>
  <c r="V4" i="34"/>
  <c r="I18" i="34"/>
  <c r="K18" i="34"/>
  <c r="Q18" i="34" s="1"/>
  <c r="J18" i="34"/>
  <c r="P18" i="34" s="1"/>
  <c r="I16" i="34"/>
  <c r="J16" i="34"/>
  <c r="P16" i="34" s="1"/>
  <c r="K16" i="34"/>
  <c r="Q16" i="34" s="1"/>
  <c r="X16" i="34" s="1"/>
  <c r="I7" i="34"/>
  <c r="J7" i="34"/>
  <c r="P7" i="34" s="1"/>
  <c r="K7" i="34"/>
  <c r="Q7" i="34" s="1"/>
  <c r="I15" i="34"/>
  <c r="K15" i="34"/>
  <c r="Q15" i="34" s="1"/>
  <c r="X15" i="34" s="1"/>
  <c r="J15" i="34"/>
  <c r="P15" i="34" s="1"/>
  <c r="W17" i="34"/>
  <c r="V17" i="34"/>
  <c r="V5" i="34"/>
  <c r="W5" i="34"/>
  <c r="I5" i="34"/>
  <c r="K5" i="34"/>
  <c r="Q5" i="34" s="1"/>
  <c r="J5" i="34"/>
  <c r="P5" i="34" s="1"/>
  <c r="I4" i="34"/>
  <c r="K4" i="34"/>
  <c r="Q4" i="34" s="1"/>
  <c r="J4" i="34"/>
  <c r="P4" i="34" s="1"/>
  <c r="I6" i="34"/>
  <c r="K6" i="34"/>
  <c r="Q6" i="34" s="1"/>
  <c r="X6" i="34" s="1"/>
  <c r="J6" i="34"/>
  <c r="P6" i="34" s="1"/>
  <c r="I8" i="34"/>
  <c r="J8" i="34"/>
  <c r="P8" i="34" s="1"/>
  <c r="K8" i="34"/>
  <c r="Q8" i="34" s="1"/>
  <c r="X8" i="34" s="1"/>
  <c r="I19" i="34"/>
  <c r="J19" i="34"/>
  <c r="P19" i="34" s="1"/>
  <c r="K19" i="34"/>
  <c r="Q19" i="34" s="1"/>
  <c r="X19" i="34" s="1"/>
  <c r="I10" i="34"/>
  <c r="J10" i="34"/>
  <c r="P10" i="34" s="1"/>
  <c r="K10" i="34"/>
  <c r="Q10" i="34" s="1"/>
  <c r="I9" i="34"/>
  <c r="K9" i="34"/>
  <c r="Q9" i="34" s="1"/>
  <c r="J9" i="34"/>
  <c r="P9" i="34" s="1"/>
  <c r="I12" i="34"/>
  <c r="J12" i="34"/>
  <c r="P12" i="34" s="1"/>
  <c r="K12" i="34"/>
  <c r="Q12" i="34" s="1"/>
  <c r="X12" i="34" s="1"/>
  <c r="Q4" i="33"/>
  <c r="X4" i="33" s="1"/>
  <c r="P13" i="33"/>
  <c r="W17" i="33"/>
  <c r="X17" i="33" s="1"/>
  <c r="V17" i="33"/>
  <c r="W10" i="33"/>
  <c r="X10" i="33" s="1"/>
  <c r="Y10" i="33" s="1"/>
  <c r="AA10" i="33" s="1"/>
  <c r="V10" i="33"/>
  <c r="Q11" i="33"/>
  <c r="X16" i="33"/>
  <c r="Y16" i="33" s="1"/>
  <c r="AA16" i="33" s="1"/>
  <c r="V11" i="33"/>
  <c r="W11" i="33"/>
  <c r="P17" i="33"/>
  <c r="W5" i="33"/>
  <c r="X5" i="33" s="1"/>
  <c r="V5" i="33"/>
  <c r="X9" i="33"/>
  <c r="Y9" i="33" s="1"/>
  <c r="AA9" i="33" s="1"/>
  <c r="W7" i="33"/>
  <c r="V7" i="33"/>
  <c r="V15" i="33"/>
  <c r="W15" i="33"/>
  <c r="X15" i="33" s="1"/>
  <c r="V19" i="33"/>
  <c r="W19" i="33"/>
  <c r="X19" i="33" s="1"/>
  <c r="Y19" i="33" s="1"/>
  <c r="AA19" i="33" s="1"/>
  <c r="V13" i="33"/>
  <c r="W13" i="33"/>
  <c r="X13" i="33" s="1"/>
  <c r="Q6" i="32"/>
  <c r="V6" i="32"/>
  <c r="W6" i="32"/>
  <c r="V12" i="32"/>
  <c r="W12" i="32"/>
  <c r="V13" i="32"/>
  <c r="W13" i="32"/>
  <c r="V16" i="32"/>
  <c r="W16" i="32"/>
  <c r="V17" i="32"/>
  <c r="W17" i="32"/>
  <c r="V14" i="32"/>
  <c r="W14" i="32"/>
  <c r="X14" i="32" s="1"/>
  <c r="V7" i="32"/>
  <c r="W7" i="32"/>
  <c r="X7" i="32" s="1"/>
  <c r="Y7" i="32" s="1"/>
  <c r="AA7" i="32" s="1"/>
  <c r="V11" i="32"/>
  <c r="W11" i="32"/>
  <c r="V18" i="32"/>
  <c r="W18" i="32"/>
  <c r="X18" i="32" s="1"/>
  <c r="V19" i="32"/>
  <c r="W19" i="32"/>
  <c r="V8" i="32"/>
  <c r="W8" i="32"/>
  <c r="X8" i="32" s="1"/>
  <c r="Y8" i="32" s="1"/>
  <c r="AA8" i="32" s="1"/>
  <c r="V15" i="32"/>
  <c r="W15" i="32"/>
  <c r="V9" i="32"/>
  <c r="W9" i="32"/>
  <c r="V19" i="30"/>
  <c r="W19" i="30"/>
  <c r="W18" i="30"/>
  <c r="V18" i="30"/>
  <c r="V17" i="30"/>
  <c r="W17" i="30"/>
  <c r="V14" i="30"/>
  <c r="W14" i="30"/>
  <c r="V16" i="30"/>
  <c r="W16" i="30"/>
  <c r="B9" i="30"/>
  <c r="B5" i="30"/>
  <c r="N7" i="30"/>
  <c r="B4" i="30"/>
  <c r="B6" i="30"/>
  <c r="B13" i="30"/>
  <c r="N6" i="30"/>
  <c r="U10" i="30"/>
  <c r="M10" i="30"/>
  <c r="U9" i="30"/>
  <c r="M9" i="30"/>
  <c r="N9" i="30"/>
  <c r="N12" i="30"/>
  <c r="U12" i="30"/>
  <c r="M12" i="30"/>
  <c r="R11" i="30"/>
  <c r="S11" i="30"/>
  <c r="S8" i="30"/>
  <c r="R8" i="30"/>
  <c r="U11" i="30"/>
  <c r="M11" i="30"/>
  <c r="S6" i="30"/>
  <c r="R6" i="30"/>
  <c r="N10" i="30"/>
  <c r="U4" i="30"/>
  <c r="M4" i="30"/>
  <c r="U6" i="30"/>
  <c r="M6" i="30"/>
  <c r="S10" i="30"/>
  <c r="R10" i="30"/>
  <c r="S4" i="30"/>
  <c r="R4" i="30"/>
  <c r="U13" i="30"/>
  <c r="M13" i="30"/>
  <c r="N13" i="30"/>
  <c r="U5" i="30"/>
  <c r="M5" i="30"/>
  <c r="N5" i="30"/>
  <c r="B29" i="30"/>
  <c r="F12" i="30"/>
  <c r="H12" i="30" s="1"/>
  <c r="F8" i="30"/>
  <c r="H8" i="30" s="1"/>
  <c r="F4" i="30"/>
  <c r="H4" i="30" s="1"/>
  <c r="F11" i="30"/>
  <c r="H11" i="30" s="1"/>
  <c r="F7" i="30"/>
  <c r="H7" i="30" s="1"/>
  <c r="F5" i="30"/>
  <c r="H5" i="30" s="1"/>
  <c r="F10" i="30"/>
  <c r="H10" i="30" s="1"/>
  <c r="F6" i="30"/>
  <c r="H6" i="30" s="1"/>
  <c r="F13" i="30"/>
  <c r="H13" i="30" s="1"/>
  <c r="B11" i="30"/>
  <c r="F9" i="30"/>
  <c r="H9" i="30" s="1"/>
  <c r="B7" i="30"/>
  <c r="R7" i="30"/>
  <c r="S7" i="30"/>
  <c r="U7" i="30"/>
  <c r="M7" i="30"/>
  <c r="O9" i="30"/>
  <c r="N4" i="30"/>
  <c r="N8" i="30"/>
  <c r="U8" i="30"/>
  <c r="M8" i="30"/>
  <c r="O11" i="30"/>
  <c r="S12" i="30"/>
  <c r="R12" i="30"/>
  <c r="O8" i="30"/>
  <c r="P11" i="32" l="1"/>
  <c r="W10" i="35"/>
  <c r="V10" i="35"/>
  <c r="V4" i="32"/>
  <c r="W4" i="32"/>
  <c r="X4" i="32" s="1"/>
  <c r="Y4" i="32" s="1"/>
  <c r="AA4" i="32" s="1"/>
  <c r="X13" i="32"/>
  <c r="Y13" i="32" s="1"/>
  <c r="AA13" i="32" s="1"/>
  <c r="V18" i="35"/>
  <c r="W18" i="35"/>
  <c r="X18" i="35" s="1"/>
  <c r="Y18" i="35" s="1"/>
  <c r="AA18" i="35" s="1"/>
  <c r="V7" i="35"/>
  <c r="W7" i="35"/>
  <c r="X7" i="35" s="1"/>
  <c r="Y7" i="35" s="1"/>
  <c r="AA7" i="35" s="1"/>
  <c r="Q10" i="35"/>
  <c r="X10" i="35" s="1"/>
  <c r="Y10" i="35" s="1"/>
  <c r="AA10" i="35" s="1"/>
  <c r="Y14" i="32"/>
  <c r="AA14" i="32" s="1"/>
  <c r="P14" i="35"/>
  <c r="Q11" i="32"/>
  <c r="V6" i="35"/>
  <c r="W6" i="35"/>
  <c r="X6" i="35" s="1"/>
  <c r="Y6" i="35" s="1"/>
  <c r="AA6" i="35" s="1"/>
  <c r="W10" i="32"/>
  <c r="X10" i="32" s="1"/>
  <c r="Y10" i="32" s="1"/>
  <c r="AA10" i="32" s="1"/>
  <c r="V10" i="32"/>
  <c r="V14" i="35"/>
  <c r="W14" i="35"/>
  <c r="X14" i="35" s="1"/>
  <c r="Y14" i="35" s="1"/>
  <c r="AA14" i="35" s="1"/>
  <c r="Y15" i="33"/>
  <c r="AA15" i="33" s="1"/>
  <c r="X17" i="32"/>
  <c r="Y17" i="32" s="1"/>
  <c r="AA17" i="32" s="1"/>
  <c r="X16" i="32"/>
  <c r="Y16" i="32" s="1"/>
  <c r="AA16" i="32" s="1"/>
  <c r="X19" i="32"/>
  <c r="Y19" i="32" s="1"/>
  <c r="AA19" i="32" s="1"/>
  <c r="X12" i="32"/>
  <c r="Y12" i="32" s="1"/>
  <c r="AA12" i="32" s="1"/>
  <c r="X11" i="32"/>
  <c r="Y11" i="32" s="1"/>
  <c r="AA11" i="32" s="1"/>
  <c r="X9" i="32"/>
  <c r="Y9" i="32" s="1"/>
  <c r="AA9" i="32" s="1"/>
  <c r="X15" i="32"/>
  <c r="Y15" i="32" s="1"/>
  <c r="AA15" i="32" s="1"/>
  <c r="X7" i="33"/>
  <c r="Y7" i="33" s="1"/>
  <c r="AA7" i="33" s="1"/>
  <c r="Y12" i="33"/>
  <c r="AA12" i="33" s="1"/>
  <c r="Y5" i="33"/>
  <c r="AA5" i="33" s="1"/>
  <c r="I15" i="30"/>
  <c r="J15" i="30"/>
  <c r="P15" i="30" s="1"/>
  <c r="K15" i="30"/>
  <c r="Q15" i="30" s="1"/>
  <c r="X15" i="30" s="1"/>
  <c r="Y15" i="30" s="1"/>
  <c r="AA15" i="30" s="1"/>
  <c r="I14" i="30"/>
  <c r="J14" i="30"/>
  <c r="P14" i="30" s="1"/>
  <c r="K14" i="30"/>
  <c r="Q14" i="30" s="1"/>
  <c r="X14" i="30" s="1"/>
  <c r="Y14" i="30" s="1"/>
  <c r="AA14" i="30" s="1"/>
  <c r="I19" i="30"/>
  <c r="J19" i="30"/>
  <c r="P19" i="30" s="1"/>
  <c r="K19" i="30"/>
  <c r="Q19" i="30" s="1"/>
  <c r="X19" i="30" s="1"/>
  <c r="Y19" i="30" s="1"/>
  <c r="AA19" i="30" s="1"/>
  <c r="Y16" i="34"/>
  <c r="AA16" i="34" s="1"/>
  <c r="I18" i="30"/>
  <c r="J18" i="30"/>
  <c r="P18" i="30" s="1"/>
  <c r="K18" i="30"/>
  <c r="Q18" i="30" s="1"/>
  <c r="X18" i="30" s="1"/>
  <c r="I17" i="30"/>
  <c r="K17" i="30"/>
  <c r="Q17" i="30" s="1"/>
  <c r="X17" i="30" s="1"/>
  <c r="J17" i="30"/>
  <c r="P17" i="30" s="1"/>
  <c r="I16" i="30"/>
  <c r="K16" i="30"/>
  <c r="Q16" i="30" s="1"/>
  <c r="X16" i="30" s="1"/>
  <c r="Y16" i="30" s="1"/>
  <c r="AA16" i="30" s="1"/>
  <c r="J16" i="30"/>
  <c r="P16" i="30" s="1"/>
  <c r="Y11" i="34"/>
  <c r="AA11" i="34" s="1"/>
  <c r="Y8" i="34"/>
  <c r="AA8" i="34" s="1"/>
  <c r="Y14" i="34"/>
  <c r="AA14" i="34" s="1"/>
  <c r="Y19" i="34"/>
  <c r="AA19" i="34" s="1"/>
  <c r="Y13" i="34"/>
  <c r="AA13" i="34" s="1"/>
  <c r="Y4" i="33"/>
  <c r="AA4" i="33" s="1"/>
  <c r="Y13" i="33"/>
  <c r="AA13" i="33" s="1"/>
  <c r="Y18" i="32"/>
  <c r="AA18" i="32" s="1"/>
  <c r="Y15" i="35"/>
  <c r="AA15" i="35" s="1"/>
  <c r="Y13" i="35"/>
  <c r="AA13" i="35" s="1"/>
  <c r="X9" i="34"/>
  <c r="Y9" i="34" s="1"/>
  <c r="AA9" i="34" s="1"/>
  <c r="X6" i="32"/>
  <c r="Y6" i="32" s="1"/>
  <c r="AA6" i="32" s="1"/>
  <c r="X17" i="34"/>
  <c r="Y17" i="34" s="1"/>
  <c r="AA17" i="34" s="1"/>
  <c r="X18" i="34"/>
  <c r="Y18" i="34" s="1"/>
  <c r="AA18" i="34" s="1"/>
  <c r="Y8" i="35"/>
  <c r="AA8" i="35" s="1"/>
  <c r="Y12" i="35"/>
  <c r="AA12" i="35" s="1"/>
  <c r="Y17" i="35"/>
  <c r="AA17" i="35" s="1"/>
  <c r="Y5" i="35"/>
  <c r="AA5" i="35" s="1"/>
  <c r="Y11" i="35"/>
  <c r="AA11" i="35" s="1"/>
  <c r="Y4" i="35"/>
  <c r="AA4" i="35" s="1"/>
  <c r="Y19" i="35"/>
  <c r="AA19" i="35" s="1"/>
  <c r="Y16" i="35"/>
  <c r="AA16" i="35" s="1"/>
  <c r="X9" i="35"/>
  <c r="Y9" i="35" s="1"/>
  <c r="AA9" i="35" s="1"/>
  <c r="Y12" i="34"/>
  <c r="AA12" i="34" s="1"/>
  <c r="Y6" i="34"/>
  <c r="AA6" i="34" s="1"/>
  <c r="X10" i="34"/>
  <c r="Y10" i="34" s="1"/>
  <c r="AA10" i="34" s="1"/>
  <c r="X5" i="34"/>
  <c r="Y5" i="34" s="1"/>
  <c r="AA5" i="34" s="1"/>
  <c r="Y15" i="34"/>
  <c r="AA15" i="34" s="1"/>
  <c r="X7" i="34"/>
  <c r="Y7" i="34" s="1"/>
  <c r="AA7" i="34" s="1"/>
  <c r="X4" i="34"/>
  <c r="Y4" i="34" s="1"/>
  <c r="AA4" i="34" s="1"/>
  <c r="Y17" i="33"/>
  <c r="AA17" i="33" s="1"/>
  <c r="X11" i="33"/>
  <c r="Y11" i="33" s="1"/>
  <c r="AA11" i="33" s="1"/>
  <c r="I13" i="30"/>
  <c r="J13" i="30"/>
  <c r="P13" i="30" s="1"/>
  <c r="K13" i="30"/>
  <c r="Q13" i="30" s="1"/>
  <c r="J8" i="30"/>
  <c r="P8" i="30" s="1"/>
  <c r="I8" i="30"/>
  <c r="K8" i="30"/>
  <c r="Q8" i="30" s="1"/>
  <c r="V13" i="30"/>
  <c r="W13" i="30"/>
  <c r="W12" i="30"/>
  <c r="V12" i="30"/>
  <c r="I6" i="30"/>
  <c r="K6" i="30"/>
  <c r="Q6" i="30" s="1"/>
  <c r="J6" i="30"/>
  <c r="P6" i="30" s="1"/>
  <c r="J12" i="30"/>
  <c r="P12" i="30" s="1"/>
  <c r="I12" i="30"/>
  <c r="K12" i="30"/>
  <c r="Q12" i="30" s="1"/>
  <c r="W7" i="30"/>
  <c r="V7" i="30"/>
  <c r="I10" i="30"/>
  <c r="K10" i="30"/>
  <c r="Q10" i="30" s="1"/>
  <c r="J10" i="30"/>
  <c r="P10" i="30" s="1"/>
  <c r="W4" i="30"/>
  <c r="V4" i="30"/>
  <c r="W11" i="30"/>
  <c r="V11" i="30"/>
  <c r="I5" i="30"/>
  <c r="K5" i="30"/>
  <c r="Q5" i="30" s="1"/>
  <c r="J5" i="30"/>
  <c r="P5" i="30" s="1"/>
  <c r="V9" i="30"/>
  <c r="W9" i="30"/>
  <c r="I4" i="30"/>
  <c r="K4" i="30"/>
  <c r="Q4" i="30" s="1"/>
  <c r="J4" i="30"/>
  <c r="P4" i="30" s="1"/>
  <c r="W8" i="30"/>
  <c r="V8" i="30"/>
  <c r="I7" i="30"/>
  <c r="J7" i="30"/>
  <c r="P7" i="30" s="1"/>
  <c r="K7" i="30"/>
  <c r="Q7" i="30" s="1"/>
  <c r="W5" i="30"/>
  <c r="V5" i="30"/>
  <c r="I9" i="30"/>
  <c r="J9" i="30"/>
  <c r="P9" i="30" s="1"/>
  <c r="K9" i="30"/>
  <c r="Q9" i="30" s="1"/>
  <c r="I11" i="30"/>
  <c r="J11" i="30"/>
  <c r="P11" i="30" s="1"/>
  <c r="K11" i="30"/>
  <c r="Q11" i="30" s="1"/>
  <c r="W6" i="30"/>
  <c r="V6" i="30"/>
  <c r="W10" i="30"/>
  <c r="V10" i="30"/>
  <c r="Y18" i="30" l="1"/>
  <c r="AA18" i="30" s="1"/>
  <c r="Y17" i="30"/>
  <c r="AA17" i="30" s="1"/>
  <c r="X7" i="30"/>
  <c r="Y7" i="30" s="1"/>
  <c r="AA7" i="30" s="1"/>
  <c r="X12" i="30"/>
  <c r="Y12" i="30" s="1"/>
  <c r="AA12" i="30" s="1"/>
  <c r="X4" i="30"/>
  <c r="Y4" i="30" s="1"/>
  <c r="AA4" i="30" s="1"/>
  <c r="X9" i="30"/>
  <c r="Y9" i="30" s="1"/>
  <c r="AA9" i="30" s="1"/>
  <c r="X5" i="30"/>
  <c r="Y5" i="30" s="1"/>
  <c r="AA5" i="30" s="1"/>
  <c r="X8" i="30"/>
  <c r="Y8" i="30" s="1"/>
  <c r="AA8" i="30" s="1"/>
  <c r="X10" i="30"/>
  <c r="Y10" i="30" s="1"/>
  <c r="AA10" i="30" s="1"/>
  <c r="X6" i="30"/>
  <c r="Y6" i="30" s="1"/>
  <c r="AA6" i="30" s="1"/>
  <c r="X13" i="30"/>
  <c r="Y13" i="30" s="1"/>
  <c r="AA13" i="30" s="1"/>
  <c r="X11" i="30"/>
  <c r="Y11" i="30" s="1"/>
  <c r="AA11" i="30" s="1"/>
</calcChain>
</file>

<file path=xl/sharedStrings.xml><?xml version="1.0" encoding="utf-8"?>
<sst xmlns="http://schemas.openxmlformats.org/spreadsheetml/2006/main" count="344" uniqueCount="62">
  <si>
    <t>m</t>
  </si>
  <si>
    <t>kPa</t>
  </si>
  <si>
    <t>MPa</t>
  </si>
  <si>
    <t xml:space="preserve">m </t>
  </si>
  <si>
    <t>x (m)</t>
  </si>
  <si>
    <t>y (m)</t>
  </si>
  <si>
    <r>
      <t>α</t>
    </r>
    <r>
      <rPr>
        <b/>
        <vertAlign val="subscript"/>
        <sz val="11"/>
        <color theme="1"/>
        <rFont val="Cambria"/>
        <family val="1"/>
      </rPr>
      <t xml:space="preserve">Dis </t>
    </r>
    <r>
      <rPr>
        <b/>
        <sz val="11"/>
        <color theme="1"/>
        <rFont val="Cambria"/>
        <family val="1"/>
      </rPr>
      <t>[o]*</t>
    </r>
  </si>
  <si>
    <t>H (kN)</t>
  </si>
  <si>
    <t>V (kN)</t>
  </si>
  <si>
    <t>R (kN)</t>
  </si>
  <si>
    <r>
      <t>σ</t>
    </r>
    <r>
      <rPr>
        <b/>
        <vertAlign val="subscript"/>
        <sz val="11"/>
        <color theme="1"/>
        <rFont val="Calibri"/>
        <family val="2"/>
        <scheme val="minor"/>
      </rPr>
      <t xml:space="preserve">R </t>
    </r>
    <r>
      <rPr>
        <b/>
        <sz val="11"/>
        <color theme="1"/>
        <rFont val="Calibri"/>
        <family val="2"/>
        <scheme val="minor"/>
      </rPr>
      <t>(kPa)</t>
    </r>
  </si>
  <si>
    <r>
      <rPr>
        <b/>
        <sz val="11"/>
        <color theme="1"/>
        <rFont val="Calibri"/>
        <family val="2"/>
      </rPr>
      <t>T</t>
    </r>
    <r>
      <rPr>
        <b/>
        <vertAlign val="subscript"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 xml:space="preserve"> (kN)</t>
    </r>
  </si>
  <si>
    <r>
      <t>N</t>
    </r>
    <r>
      <rPr>
        <b/>
        <vertAlign val="subscript"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 xml:space="preserve"> (kN)</t>
    </r>
  </si>
  <si>
    <r>
      <t>L</t>
    </r>
    <r>
      <rPr>
        <b/>
        <vertAlign val="subscript"/>
        <sz val="11"/>
        <color theme="1"/>
        <rFont val="Calibri"/>
        <family val="2"/>
        <scheme val="minor"/>
      </rPr>
      <t>Dis</t>
    </r>
    <r>
      <rPr>
        <b/>
        <sz val="11"/>
        <color theme="1"/>
        <rFont val="Calibri"/>
        <family val="2"/>
        <scheme val="minor"/>
      </rPr>
      <t>**</t>
    </r>
  </si>
  <si>
    <r>
      <t>S</t>
    </r>
    <r>
      <rPr>
        <b/>
        <vertAlign val="subscript"/>
        <sz val="11"/>
        <color theme="1"/>
        <rFont val="Calibri"/>
        <family val="2"/>
        <scheme val="minor"/>
      </rPr>
      <t>SB</t>
    </r>
    <r>
      <rPr>
        <b/>
        <sz val="11"/>
        <color theme="1"/>
        <rFont val="Calibri"/>
        <family val="2"/>
        <scheme val="minor"/>
      </rPr>
      <t xml:space="preserve"> (kN)</t>
    </r>
  </si>
  <si>
    <r>
      <t>N</t>
    </r>
    <r>
      <rPr>
        <b/>
        <vertAlign val="subscript"/>
        <sz val="11"/>
        <color theme="1"/>
        <rFont val="Calibri"/>
        <family val="2"/>
        <scheme val="minor"/>
      </rPr>
      <t>SB</t>
    </r>
    <r>
      <rPr>
        <b/>
        <sz val="11"/>
        <color theme="1"/>
        <rFont val="Calibri"/>
        <family val="2"/>
        <scheme val="minor"/>
      </rPr>
      <t xml:space="preserve"> (kN)</t>
    </r>
  </si>
  <si>
    <r>
      <rPr>
        <b/>
        <sz val="11"/>
        <color theme="1"/>
        <rFont val="Calibri"/>
        <family val="2"/>
      </rPr>
      <t>T</t>
    </r>
    <r>
      <rPr>
        <b/>
        <vertAlign val="subscript"/>
        <sz val="11"/>
        <color theme="1"/>
        <rFont val="Calibri"/>
        <family val="2"/>
        <scheme val="minor"/>
      </rPr>
      <t>SB</t>
    </r>
    <r>
      <rPr>
        <b/>
        <sz val="11"/>
        <color theme="1"/>
        <rFont val="Calibri"/>
        <family val="2"/>
        <scheme val="minor"/>
      </rPr>
      <t xml:space="preserve"> (kN)</t>
    </r>
  </si>
  <si>
    <r>
      <rPr>
        <b/>
        <sz val="11"/>
        <color theme="1"/>
        <rFont val="Calibri"/>
        <family val="2"/>
      </rPr>
      <t>T</t>
    </r>
    <r>
      <rPr>
        <b/>
        <vertAlign val="subscript"/>
        <sz val="11"/>
        <color theme="1"/>
        <rFont val="Calibri"/>
        <family val="2"/>
        <scheme val="minor"/>
      </rPr>
      <t xml:space="preserve">tot </t>
    </r>
    <r>
      <rPr>
        <b/>
        <sz val="11"/>
        <color theme="1"/>
        <rFont val="Calibri"/>
        <family val="2"/>
        <scheme val="minor"/>
      </rPr>
      <t>(kN)</t>
    </r>
  </si>
  <si>
    <r>
      <t>N</t>
    </r>
    <r>
      <rPr>
        <b/>
        <vertAlign val="subscript"/>
        <sz val="11"/>
        <color theme="1"/>
        <rFont val="Calibri"/>
        <family val="2"/>
        <scheme val="minor"/>
      </rPr>
      <t xml:space="preserve">tot </t>
    </r>
    <r>
      <rPr>
        <b/>
        <sz val="11"/>
        <color theme="1"/>
        <rFont val="Calibri"/>
        <family val="2"/>
        <scheme val="minor"/>
      </rPr>
      <t>(kN)</t>
    </r>
  </si>
  <si>
    <r>
      <t xml:space="preserve">sin </t>
    </r>
    <r>
      <rPr>
        <b/>
        <sz val="11"/>
        <color theme="1"/>
        <rFont val="Times New Roman"/>
        <family val="1"/>
      </rPr>
      <t>β</t>
    </r>
  </si>
  <si>
    <r>
      <t xml:space="preserve">cos </t>
    </r>
    <r>
      <rPr>
        <b/>
        <sz val="11"/>
        <color theme="1"/>
        <rFont val="Times New Roman"/>
        <family val="1"/>
      </rPr>
      <t>β</t>
    </r>
  </si>
  <si>
    <r>
      <t xml:space="preserve">tan </t>
    </r>
    <r>
      <rPr>
        <b/>
        <sz val="11"/>
        <color theme="1"/>
        <rFont val="Times New Roman"/>
        <family val="1"/>
      </rPr>
      <t>ϕ</t>
    </r>
  </si>
  <si>
    <r>
      <t>n</t>
    </r>
    <r>
      <rPr>
        <b/>
        <vertAlign val="subscript"/>
        <sz val="11"/>
        <color theme="1"/>
        <rFont val="Calibri"/>
        <family val="2"/>
        <scheme val="minor"/>
      </rPr>
      <t>bolts</t>
    </r>
  </si>
  <si>
    <t>Ttot Pådrivande(kN)</t>
  </si>
  <si>
    <r>
      <rPr>
        <b/>
        <sz val="11"/>
        <color theme="1"/>
        <rFont val="Calibri"/>
        <family val="2"/>
      </rPr>
      <t>F</t>
    </r>
    <r>
      <rPr>
        <vertAlign val="subscript"/>
        <sz val="11"/>
        <color theme="1"/>
        <rFont val="Calibri"/>
        <family val="2"/>
        <scheme val="minor"/>
      </rPr>
      <t>Bult</t>
    </r>
    <r>
      <rPr>
        <b/>
        <sz val="11"/>
        <color theme="1"/>
        <rFont val="Calibri"/>
        <family val="2"/>
        <scheme val="minor"/>
      </rPr>
      <t xml:space="preserve"> (kN)</t>
    </r>
  </si>
  <si>
    <r>
      <rPr>
        <b/>
        <sz val="11"/>
        <color theme="1"/>
        <rFont val="Calibri"/>
        <family val="2"/>
      </rPr>
      <t>T</t>
    </r>
    <r>
      <rPr>
        <vertAlign val="subscript"/>
        <sz val="11"/>
        <color theme="1"/>
        <rFont val="Calibri"/>
        <family val="2"/>
        <scheme val="minor"/>
      </rPr>
      <t>BF</t>
    </r>
    <r>
      <rPr>
        <b/>
        <sz val="11"/>
        <color theme="1"/>
        <rFont val="Calibri"/>
        <family val="2"/>
        <scheme val="minor"/>
      </rPr>
      <t xml:space="preserve"> (kN)</t>
    </r>
  </si>
  <si>
    <r>
      <t>SF=</t>
    </r>
    <r>
      <rPr>
        <b/>
        <sz val="11"/>
        <color theme="1"/>
        <rFont val="Calibri"/>
        <family val="2"/>
      </rPr>
      <t>T</t>
    </r>
    <r>
      <rPr>
        <b/>
        <vertAlign val="subscript"/>
        <sz val="11"/>
        <color theme="1"/>
        <rFont val="Calibri"/>
        <family val="2"/>
      </rPr>
      <t>BF</t>
    </r>
    <r>
      <rPr>
        <b/>
        <sz val="8.8000000000000007"/>
        <color theme="1"/>
        <rFont val="Calibri"/>
        <family val="2"/>
      </rPr>
      <t>/T</t>
    </r>
    <r>
      <rPr>
        <vertAlign val="subscript"/>
        <sz val="11"/>
        <color theme="1"/>
        <rFont val="Calibri"/>
        <family val="2"/>
        <scheme val="minor"/>
      </rPr>
      <t>tot</t>
    </r>
  </si>
  <si>
    <t>Design OK?</t>
  </si>
  <si>
    <t>0</t>
  </si>
  <si>
    <t>q=</t>
  </si>
  <si>
    <t>Assumed thickness of arch=</t>
  </si>
  <si>
    <r>
      <t>L</t>
    </r>
    <r>
      <rPr>
        <vertAlign val="subscript"/>
        <sz val="11"/>
        <color theme="1"/>
        <rFont val="Calibri"/>
        <family val="2"/>
        <scheme val="minor"/>
      </rPr>
      <t>dis,max=</t>
    </r>
  </si>
  <si>
    <t>B=</t>
  </si>
  <si>
    <t>f=</t>
  </si>
  <si>
    <t>Bolt spacing=</t>
  </si>
  <si>
    <t>°</t>
  </si>
  <si>
    <t>Hq=</t>
  </si>
  <si>
    <t>kN/m</t>
  </si>
  <si>
    <t>fst=</t>
  </si>
  <si>
    <t>Vq=</t>
  </si>
  <si>
    <r>
      <rPr>
        <sz val="11"/>
        <color theme="1"/>
        <rFont val="Times New Roman"/>
        <family val="1"/>
      </rPr>
      <t>ϕ</t>
    </r>
    <r>
      <rPr>
        <sz val="11"/>
        <color theme="1"/>
        <rFont val="Calibri"/>
        <family val="2"/>
      </rPr>
      <t>25=</t>
    </r>
  </si>
  <si>
    <t>mm2</t>
  </si>
  <si>
    <t>R=</t>
  </si>
  <si>
    <t>Compressive strength shotcrete</t>
  </si>
  <si>
    <t>Thickness shotcrete</t>
  </si>
  <si>
    <r>
      <rPr>
        <sz val="11"/>
        <color theme="1"/>
        <rFont val="Times New Roman"/>
        <family val="1"/>
      </rPr>
      <t>α</t>
    </r>
    <r>
      <rPr>
        <sz val="11"/>
        <color theme="1"/>
        <rFont val="Calibri"/>
        <family val="2"/>
        <scheme val="minor"/>
      </rPr>
      <t>=</t>
    </r>
  </si>
  <si>
    <r>
      <t>[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]</t>
    </r>
  </si>
  <si>
    <t>radius of tunnel</t>
  </si>
  <si>
    <r>
      <rPr>
        <sz val="11"/>
        <color theme="1"/>
        <rFont val="Times New Roman"/>
        <family val="1"/>
      </rPr>
      <t>ϕ</t>
    </r>
    <r>
      <rPr>
        <sz val="11"/>
        <color theme="1"/>
        <rFont val="Calibri"/>
        <family val="2"/>
      </rPr>
      <t>=</t>
    </r>
  </si>
  <si>
    <r>
      <t>σ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shotcrete (MPa)</t>
    </r>
  </si>
  <si>
    <r>
      <rPr>
        <b/>
        <sz val="11"/>
        <color theme="1"/>
        <rFont val="Times New Roman"/>
        <family val="1"/>
      </rPr>
      <t xml:space="preserve">β </t>
    </r>
    <r>
      <rPr>
        <b/>
        <sz val="11"/>
        <color theme="1"/>
        <rFont val="Cambria"/>
        <family val="1"/>
      </rPr>
      <t>[o]</t>
    </r>
  </si>
  <si>
    <r>
      <t>α</t>
    </r>
    <r>
      <rPr>
        <vertAlign val="subscript"/>
        <sz val="11"/>
        <color theme="1"/>
        <rFont val="Calibri"/>
        <family val="2"/>
      </rPr>
      <t>dis, min</t>
    </r>
    <r>
      <rPr>
        <sz val="11"/>
        <color theme="1"/>
        <rFont val="Calibri"/>
        <family val="2"/>
      </rPr>
      <t>=</t>
    </r>
  </si>
  <si>
    <r>
      <t xml:space="preserve">*) På grund av geomterisk begräsning kan glidning inte inträffa i punkt x,y vid vinklar på </t>
    </r>
    <r>
      <rPr>
        <sz val="11"/>
        <color theme="1"/>
        <rFont val="Times New Roman"/>
        <family val="1"/>
      </rPr>
      <t>α</t>
    </r>
    <r>
      <rPr>
        <sz val="8.8000000000000007"/>
        <color theme="1"/>
        <rFont val="Calibri"/>
        <family val="2"/>
      </rPr>
      <t>dis</t>
    </r>
    <r>
      <rPr>
        <sz val="11"/>
        <color theme="1"/>
        <rFont val="Calibri"/>
        <family val="2"/>
        <scheme val="minor"/>
      </rPr>
      <t xml:space="preserve"> som understiger:</t>
    </r>
  </si>
  <si>
    <r>
      <t xml:space="preserve">Lutning trycklinje </t>
    </r>
    <r>
      <rPr>
        <b/>
        <sz val="11"/>
        <color theme="1"/>
        <rFont val="Cambria"/>
        <family val="1"/>
      </rPr>
      <t>α</t>
    </r>
    <r>
      <rPr>
        <b/>
        <vertAlign val="subscript"/>
        <sz val="11"/>
        <color theme="1"/>
        <rFont val="Cambria"/>
        <family val="1"/>
      </rPr>
      <t xml:space="preserve">Tryck </t>
    </r>
    <r>
      <rPr>
        <b/>
        <sz val="11"/>
        <color theme="1"/>
        <rFont val="Cambria"/>
        <family val="1"/>
      </rPr>
      <t>[o]</t>
    </r>
  </si>
  <si>
    <t>deg</t>
  </si>
  <si>
    <t>**) Maxlängd på spricka baserad på geometrisk begränsning:</t>
  </si>
  <si>
    <t>Brott möjligt?</t>
  </si>
  <si>
    <t>Valvstabilitet 15 grader - kombinerad förstärkning</t>
  </si>
  <si>
    <t>Valvstabilitet 30 grader - kombinerad förstärkning</t>
  </si>
  <si>
    <t>Valvstabilitet 45 grader - kombinerad förstärkning</t>
  </si>
  <si>
    <t>Valvstabilitet 60 grader - kombinerad förstärkning</t>
  </si>
  <si>
    <t>Valvstabilitet 75 grader - kombinerad förstärkning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</si>
</sst>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8.8000000000000007"/>
      <color theme="1"/>
      <name val="Calibri"/>
      <family val="2"/>
    </font>
    <font>
      <b/>
      <sz val="11"/>
      <color theme="1"/>
      <name val="Cambria"/>
      <family val="1"/>
    </font>
    <font>
      <b/>
      <vertAlign val="subscript"/>
      <sz val="11"/>
      <color theme="1"/>
      <name val="Cambria"/>
      <family val="1"/>
    </font>
    <font>
      <b/>
      <vertAlign val="sub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</font>
    <font>
      <sz val="8.8000000000000007"/>
      <color theme="1"/>
      <name val="Calibri"/>
      <family val="2"/>
    </font>
    <font>
      <vertAlign val="subscript"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0" fillId="0" borderId="0" xfId="0" applyNumberFormat="1"/>
    <xf numFmtId="2" fontId="0" fillId="0" borderId="0" xfId="0" applyNumberFormat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2" xfId="0" quotePrefix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0" fillId="2" borderId="2" xfId="0" applyNumberFormat="1" applyFill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0" fillId="0" borderId="4" xfId="0" quotePrefix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17" fillId="0" borderId="4" xfId="0" applyFont="1" applyBorder="1" applyAlignment="1">
      <alignment horizontal="center"/>
    </xf>
    <xf numFmtId="164" fontId="0" fillId="0" borderId="0" xfId="0" applyNumberFormat="1"/>
    <xf numFmtId="1" fontId="0" fillId="2" borderId="5" xfId="0" applyNumberFormat="1" applyFill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5" xfId="0" applyBorder="1"/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0" fontId="1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2"/>
  <sheetViews>
    <sheetView tabSelected="1" zoomScaleNormal="100" workbookViewId="0">
      <selection activeCell="G22" sqref="G22"/>
    </sheetView>
  </sheetViews>
  <sheetFormatPr defaultRowHeight="15" x14ac:dyDescent="0.25"/>
  <cols>
    <col min="2" max="2" width="9.28515625" customWidth="1"/>
    <col min="3" max="3" width="15.42578125" customWidth="1"/>
    <col min="6" max="6" width="9.28515625" customWidth="1"/>
    <col min="18" max="20" width="0" hidden="1" customWidth="1"/>
    <col min="22" max="22" width="0" hidden="1" customWidth="1"/>
    <col min="25" max="25" width="15.28515625" customWidth="1"/>
  </cols>
  <sheetData>
    <row r="1" spans="1:27" ht="18.75" x14ac:dyDescent="0.3">
      <c r="A1" s="46" t="s">
        <v>57</v>
      </c>
    </row>
    <row r="2" spans="1:27" ht="24" thickBot="1" x14ac:dyDescent="0.4">
      <c r="A2" s="3"/>
    </row>
    <row r="3" spans="1:27" ht="49.5" thickBot="1" x14ac:dyDescent="0.4">
      <c r="A3" s="4" t="s">
        <v>4</v>
      </c>
      <c r="B3" s="4" t="s">
        <v>5</v>
      </c>
      <c r="C3" s="5" t="s">
        <v>53</v>
      </c>
      <c r="D3" s="6" t="s">
        <v>6</v>
      </c>
      <c r="E3" s="6" t="s">
        <v>50</v>
      </c>
      <c r="F3" s="4" t="s">
        <v>7</v>
      </c>
      <c r="G3" s="4" t="s">
        <v>8</v>
      </c>
      <c r="H3" s="4" t="s">
        <v>9</v>
      </c>
      <c r="I3" s="26" t="s">
        <v>10</v>
      </c>
      <c r="J3" s="4" t="s">
        <v>11</v>
      </c>
      <c r="K3" s="4" t="s">
        <v>12</v>
      </c>
      <c r="L3" s="5" t="s">
        <v>13</v>
      </c>
      <c r="M3" s="5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4" t="s">
        <v>26</v>
      </c>
      <c r="Z3" s="5" t="s">
        <v>56</v>
      </c>
      <c r="AA3" s="5" t="s">
        <v>27</v>
      </c>
    </row>
    <row r="4" spans="1:27" x14ac:dyDescent="0.25">
      <c r="A4" s="7" t="s">
        <v>28</v>
      </c>
      <c r="B4" s="8">
        <f t="shared" ref="B4:B13" si="0">($B$23*$B$24^2)/(8*$B$27)*(1-((2*A4)/$B$24)^2)</f>
        <v>2</v>
      </c>
      <c r="C4" s="8">
        <f t="shared" ref="C4:C13" si="1">ATAN((8*$B$25*A4)/$B$24^2)*180/PI()</f>
        <v>0</v>
      </c>
      <c r="D4" s="8">
        <f>ABS(C4-$B$31)</f>
        <v>15</v>
      </c>
      <c r="E4" s="8">
        <f>180-(D4+90)</f>
        <v>75</v>
      </c>
      <c r="F4" s="9">
        <f t="shared" ref="F4:F19" si="2">$B$27</f>
        <v>1863.28125</v>
      </c>
      <c r="G4" s="14">
        <f t="shared" ref="G4:G13" si="3">($B$23*A4)</f>
        <v>0</v>
      </c>
      <c r="H4" s="9">
        <f>(F4^2+G4^2)^0.5</f>
        <v>1863.28125</v>
      </c>
      <c r="I4" s="33">
        <f t="shared" ref="I4:I13" si="4">H4/$H$23</f>
        <v>621.09375</v>
      </c>
      <c r="J4" s="9">
        <f>SIN((90-D4)*PI()/180)*H4</f>
        <v>1799.7914810151781</v>
      </c>
      <c r="K4" s="9">
        <f>COS((90-D4)*PI()/180)*H4</f>
        <v>482.25267388243122</v>
      </c>
      <c r="L4" s="8">
        <f>IF($H$23/TAN(D4*PI()/180)&gt;$M$23,$M$23,$H$23/TAN(D4*PI()/180))</f>
        <v>6.5465367070797722</v>
      </c>
      <c r="M4" s="9">
        <f t="shared" ref="M4:M13" si="5">$G$32*L4*1000</f>
        <v>464.80410620266389</v>
      </c>
      <c r="N4" s="9">
        <f t="shared" ref="N4:N13" si="6">COS(D4*PI()/180)*$G$32*1000*L4</f>
        <v>448.96629034635993</v>
      </c>
      <c r="O4" s="9">
        <f t="shared" ref="O4:O13" si="7">-SIN(D4*PI()/180)*$G$32*1000*L4</f>
        <v>-120.30015492710409</v>
      </c>
      <c r="P4" s="9">
        <f>J4+O4</f>
        <v>1679.4913260880739</v>
      </c>
      <c r="Q4" s="9">
        <f t="shared" ref="Q4:Q13" si="8">K4+N4</f>
        <v>931.21896422879115</v>
      </c>
      <c r="R4" s="34">
        <f t="shared" ref="R4:R13" si="9">SIN(E4*PI()/180)</f>
        <v>0.96592582628906831</v>
      </c>
      <c r="S4" s="34">
        <f t="shared" ref="S4:S13" si="10">COS(E4*PI()/180)</f>
        <v>0.25881904510252074</v>
      </c>
      <c r="T4" s="34">
        <f t="shared" ref="T4:T19" si="11">TAN($B$32*PI()/180)</f>
        <v>0.75355405010279419</v>
      </c>
      <c r="U4" s="8">
        <f t="shared" ref="U4:U13" si="12">L4/$G$25^2</f>
        <v>6.5465367070797725E-2</v>
      </c>
      <c r="V4" s="8">
        <f t="shared" ref="V4:V13" si="13">U4/L4</f>
        <v>0.01</v>
      </c>
      <c r="W4" s="9">
        <f t="shared" ref="W4:W13" si="14">$G$28*U4*$G$27/1000</f>
        <v>13.978828057901111</v>
      </c>
      <c r="X4" s="9">
        <f>((Q4+((R4+(S4/T4))*W4))*T4)</f>
        <v>715.51668083927677</v>
      </c>
      <c r="Y4" s="8">
        <f>X4/P4</f>
        <v>0.4260317810070991</v>
      </c>
      <c r="Z4" s="10" t="str">
        <f t="shared" ref="Z4:Z13" si="15">IF(D4&lt;$M$24, "Nej", "Ja")</f>
        <v>Nej</v>
      </c>
      <c r="AA4" s="10" t="str">
        <f t="shared" ref="AA4:AA13" si="16">IF(AND(Y4&lt;1,D4&gt;$M$24), "Nej", "Ja")</f>
        <v>Ja</v>
      </c>
    </row>
    <row r="5" spans="1:27" x14ac:dyDescent="0.25">
      <c r="A5" s="10">
        <v>0.5</v>
      </c>
      <c r="B5" s="12">
        <f t="shared" si="0"/>
        <v>1.9911111111111111</v>
      </c>
      <c r="C5" s="12">
        <f t="shared" si="1"/>
        <v>2.0363254547982761</v>
      </c>
      <c r="D5" s="12">
        <f>ABS(C5-$B$31)</f>
        <v>12.963674545201723</v>
      </c>
      <c r="E5" s="12">
        <f t="shared" ref="E5:E13" si="17">180-(D5+90)</f>
        <v>77.036325454798273</v>
      </c>
      <c r="F5" s="11">
        <f t="shared" si="2"/>
        <v>1863.28125</v>
      </c>
      <c r="G5" s="10">
        <f t="shared" si="3"/>
        <v>66.25</v>
      </c>
      <c r="H5" s="11">
        <f t="shared" ref="H5:H13" si="18">(F5^2+G5^2)^0.5</f>
        <v>1864.4586557769424</v>
      </c>
      <c r="I5" s="27">
        <f t="shared" si="4"/>
        <v>621.48621859231412</v>
      </c>
      <c r="J5" s="11">
        <f t="shared" ref="J5:J13" si="19">SIN((90-D5)*PI()/180)*H5</f>
        <v>1816.93824275322</v>
      </c>
      <c r="K5" s="11">
        <f t="shared" ref="K5:K13" si="20">COS((90-D5)*PI()/180)*H5</f>
        <v>418.26008789078048</v>
      </c>
      <c r="L5" s="12">
        <f>IF($H$23/TAN(D5*PI()/180)&gt;$M$23,$M$23,$H$23/TAN(D5*PI()/180))</f>
        <v>6.5465367070797722</v>
      </c>
      <c r="M5" s="11">
        <f t="shared" si="5"/>
        <v>464.80410620266389</v>
      </c>
      <c r="N5" s="11">
        <f t="shared" si="6"/>
        <v>452.95740580336309</v>
      </c>
      <c r="O5" s="11">
        <f t="shared" si="7"/>
        <v>-104.27102028245795</v>
      </c>
      <c r="P5" s="11">
        <f t="shared" ref="P5:P13" si="21">J5+O5</f>
        <v>1712.667222470762</v>
      </c>
      <c r="Q5" s="11">
        <f t="shared" si="8"/>
        <v>871.21749369414351</v>
      </c>
      <c r="R5" s="13">
        <f t="shared" si="9"/>
        <v>0.97451248764541798</v>
      </c>
      <c r="S5" s="13">
        <f t="shared" si="10"/>
        <v>0.22433325973457238</v>
      </c>
      <c r="T5" s="13">
        <f t="shared" si="11"/>
        <v>0.75355405010279419</v>
      </c>
      <c r="U5" s="12">
        <f t="shared" si="12"/>
        <v>6.5465367070797725E-2</v>
      </c>
      <c r="V5" s="12">
        <f t="shared" si="13"/>
        <v>0.01</v>
      </c>
      <c r="W5" s="11">
        <f t="shared" si="14"/>
        <v>13.978828057901111</v>
      </c>
      <c r="X5" s="11">
        <f t="shared" ref="X5:X13" si="22">((Q5+((R5+(S5/T5))*W5))*T5)</f>
        <v>669.91070903652053</v>
      </c>
      <c r="Y5" s="12">
        <f t="shared" ref="Y5:Y13" si="23">X5/P5</f>
        <v>0.39115054007402594</v>
      </c>
      <c r="Z5" s="10" t="str">
        <f t="shared" si="15"/>
        <v>Nej</v>
      </c>
      <c r="AA5" s="10" t="str">
        <f t="shared" si="16"/>
        <v>Ja</v>
      </c>
    </row>
    <row r="6" spans="1:27" x14ac:dyDescent="0.25">
      <c r="A6" s="15">
        <v>1</v>
      </c>
      <c r="B6" s="12">
        <f t="shared" si="0"/>
        <v>1.9644444444444444</v>
      </c>
      <c r="C6" s="12">
        <f t="shared" si="1"/>
        <v>4.067519566580148</v>
      </c>
      <c r="D6" s="12">
        <f>ABS(C6-$B$31)</f>
        <v>10.932480433419851</v>
      </c>
      <c r="E6" s="12">
        <f t="shared" si="17"/>
        <v>79.067519566580145</v>
      </c>
      <c r="F6" s="11">
        <f t="shared" si="2"/>
        <v>1863.28125</v>
      </c>
      <c r="G6" s="10">
        <f t="shared" si="3"/>
        <v>132.5</v>
      </c>
      <c r="H6" s="11">
        <f t="shared" si="18"/>
        <v>1867.9864203472043</v>
      </c>
      <c r="I6" s="27">
        <f t="shared" si="4"/>
        <v>622.66214011573481</v>
      </c>
      <c r="J6" s="11">
        <f t="shared" si="19"/>
        <v>1834.085004491262</v>
      </c>
      <c r="K6" s="11">
        <f t="shared" si="20"/>
        <v>354.2675018991298</v>
      </c>
      <c r="L6" s="12">
        <f t="shared" ref="L6:L18" si="24">IF($H$23/TAN(D6*PI()/180)&gt;$M$23,$M$23,$H$23/TAN(D6*PI()/180))</f>
        <v>6.5465367070797722</v>
      </c>
      <c r="M6" s="11">
        <f t="shared" si="5"/>
        <v>464.80410620266389</v>
      </c>
      <c r="N6" s="11">
        <f t="shared" si="6"/>
        <v>456.36854311489941</v>
      </c>
      <c r="O6" s="11">
        <f t="shared" si="7"/>
        <v>-88.15106351055222</v>
      </c>
      <c r="P6" s="11">
        <f>J6+O6</f>
        <v>1745.9339409807098</v>
      </c>
      <c r="Q6" s="11">
        <f t="shared" si="8"/>
        <v>810.63604501402915</v>
      </c>
      <c r="R6" s="13">
        <f t="shared" si="9"/>
        <v>0.98185135850739158</v>
      </c>
      <c r="S6" s="13">
        <f t="shared" si="10"/>
        <v>0.18965207564693204</v>
      </c>
      <c r="T6" s="13">
        <f t="shared" si="11"/>
        <v>0.75355405010279419</v>
      </c>
      <c r="U6" s="12">
        <f t="shared" si="12"/>
        <v>6.5465367070797725E-2</v>
      </c>
      <c r="V6" s="12">
        <f t="shared" si="13"/>
        <v>0.01</v>
      </c>
      <c r="W6" s="11">
        <f t="shared" si="14"/>
        <v>13.978828057901111</v>
      </c>
      <c r="X6" s="11">
        <f t="shared" si="22"/>
        <v>623.85181692954382</v>
      </c>
      <c r="Y6" s="12">
        <f>X6/P6</f>
        <v>0.35731696502739363</v>
      </c>
      <c r="Z6" s="10" t="str">
        <f t="shared" si="15"/>
        <v>Nej</v>
      </c>
      <c r="AA6" s="10" t="str">
        <f t="shared" si="16"/>
        <v>Ja</v>
      </c>
    </row>
    <row r="7" spans="1:27" x14ac:dyDescent="0.25">
      <c r="A7" s="10">
        <v>1.5</v>
      </c>
      <c r="B7" s="12">
        <f t="shared" si="0"/>
        <v>1.92</v>
      </c>
      <c r="C7" s="12">
        <f t="shared" si="1"/>
        <v>6.088528154195175</v>
      </c>
      <c r="D7" s="12">
        <f>ABS(C7-$B$31)</f>
        <v>8.9114718458048259</v>
      </c>
      <c r="E7" s="12">
        <f t="shared" si="17"/>
        <v>81.088528154195174</v>
      </c>
      <c r="F7" s="11">
        <f t="shared" si="2"/>
        <v>1863.28125</v>
      </c>
      <c r="G7" s="10">
        <f t="shared" si="3"/>
        <v>198.75</v>
      </c>
      <c r="H7" s="11">
        <f t="shared" si="18"/>
        <v>1873.8512692050995</v>
      </c>
      <c r="I7" s="27">
        <f t="shared" si="4"/>
        <v>624.61708973503312</v>
      </c>
      <c r="J7" s="11">
        <f t="shared" si="19"/>
        <v>1851.2317662293037</v>
      </c>
      <c r="K7" s="11">
        <f t="shared" si="20"/>
        <v>290.27491590747906</v>
      </c>
      <c r="L7" s="12">
        <f t="shared" si="24"/>
        <v>6.5465367070797722</v>
      </c>
      <c r="M7" s="11">
        <f t="shared" si="5"/>
        <v>464.80410620266389</v>
      </c>
      <c r="N7" s="11">
        <f t="shared" si="6"/>
        <v>459.1933952373945</v>
      </c>
      <c r="O7" s="11">
        <f t="shared" si="7"/>
        <v>-72.001964648274125</v>
      </c>
      <c r="P7" s="11">
        <f t="shared" si="21"/>
        <v>1779.2298015810295</v>
      </c>
      <c r="Q7" s="11">
        <f t="shared" si="8"/>
        <v>749.4683111448735</v>
      </c>
      <c r="R7" s="13">
        <f t="shared" si="9"/>
        <v>0.9879288696240065</v>
      </c>
      <c r="S7" s="13">
        <f t="shared" si="10"/>
        <v>0.15490819398415523</v>
      </c>
      <c r="T7" s="13">
        <f t="shared" si="11"/>
        <v>0.75355405010279419</v>
      </c>
      <c r="U7" s="12">
        <f t="shared" si="12"/>
        <v>6.5465367070797725E-2</v>
      </c>
      <c r="V7" s="12">
        <f t="shared" si="13"/>
        <v>0.01</v>
      </c>
      <c r="W7" s="11">
        <f t="shared" si="14"/>
        <v>13.978828057901111</v>
      </c>
      <c r="X7" s="11">
        <f t="shared" si="22"/>
        <v>577.33696389079</v>
      </c>
      <c r="Y7" s="12">
        <f t="shared" si="23"/>
        <v>0.32448701307597616</v>
      </c>
      <c r="Z7" s="10" t="str">
        <f t="shared" si="15"/>
        <v>Nej</v>
      </c>
      <c r="AA7" s="10" t="str">
        <f t="shared" si="16"/>
        <v>Ja</v>
      </c>
    </row>
    <row r="8" spans="1:27" x14ac:dyDescent="0.25">
      <c r="A8" s="10">
        <v>2</v>
      </c>
      <c r="B8" s="12">
        <f t="shared" si="0"/>
        <v>1.8577777777777778</v>
      </c>
      <c r="C8" s="12">
        <f t="shared" si="1"/>
        <v>8.0944484822720035</v>
      </c>
      <c r="D8" s="12">
        <f t="shared" ref="D8:D13" si="25">ABS(C8-$B$31)</f>
        <v>6.9055515177279965</v>
      </c>
      <c r="E8" s="12">
        <f t="shared" si="17"/>
        <v>83.094448482272</v>
      </c>
      <c r="F8" s="11">
        <f t="shared" si="2"/>
        <v>1863.28125</v>
      </c>
      <c r="G8" s="10">
        <f t="shared" si="3"/>
        <v>265</v>
      </c>
      <c r="H8" s="11">
        <f t="shared" si="18"/>
        <v>1882.0313537774982</v>
      </c>
      <c r="I8" s="27">
        <f t="shared" si="4"/>
        <v>627.34378459249945</v>
      </c>
      <c r="J8" s="11">
        <f t="shared" si="19"/>
        <v>1868.3785279673461</v>
      </c>
      <c r="K8" s="11">
        <f t="shared" si="20"/>
        <v>226.2823299158284</v>
      </c>
      <c r="L8" s="12">
        <f t="shared" si="24"/>
        <v>6.5465367070797722</v>
      </c>
      <c r="M8" s="11">
        <f t="shared" si="5"/>
        <v>464.80410620266389</v>
      </c>
      <c r="N8" s="11">
        <f t="shared" si="6"/>
        <v>461.43227635238463</v>
      </c>
      <c r="O8" s="11">
        <f t="shared" si="7"/>
        <v>-55.884805476209557</v>
      </c>
      <c r="P8" s="11">
        <f t="shared" si="21"/>
        <v>1812.4937224911366</v>
      </c>
      <c r="Q8" s="11">
        <f t="shared" si="8"/>
        <v>687.71460626821306</v>
      </c>
      <c r="R8" s="13">
        <f t="shared" si="9"/>
        <v>0.9927456969392412</v>
      </c>
      <c r="S8" s="13">
        <f t="shared" si="10"/>
        <v>0.12023302877587472</v>
      </c>
      <c r="T8" s="13">
        <f t="shared" si="11"/>
        <v>0.75355405010279419</v>
      </c>
      <c r="U8" s="12">
        <f t="shared" si="12"/>
        <v>6.5465367070797725E-2</v>
      </c>
      <c r="V8" s="12">
        <f t="shared" si="13"/>
        <v>0.01</v>
      </c>
      <c r="W8" s="11">
        <f t="shared" si="14"/>
        <v>13.978828057901111</v>
      </c>
      <c r="X8" s="11">
        <f t="shared" si="22"/>
        <v>530.36823080741306</v>
      </c>
      <c r="Y8" s="12">
        <f t="shared" si="23"/>
        <v>0.29261796839685694</v>
      </c>
      <c r="Z8" s="35" t="str">
        <f t="shared" si="15"/>
        <v>Nej</v>
      </c>
      <c r="AA8" s="10" t="str">
        <f t="shared" si="16"/>
        <v>Ja</v>
      </c>
    </row>
    <row r="9" spans="1:27" x14ac:dyDescent="0.25">
      <c r="A9" s="15">
        <v>2.5</v>
      </c>
      <c r="B9" s="12">
        <f t="shared" si="0"/>
        <v>1.7777777777777777</v>
      </c>
      <c r="C9" s="12">
        <f t="shared" si="1"/>
        <v>10.080597987542321</v>
      </c>
      <c r="D9" s="12">
        <f t="shared" si="25"/>
        <v>4.9194020124576792</v>
      </c>
      <c r="E9" s="12">
        <f t="shared" si="17"/>
        <v>85.080597987542319</v>
      </c>
      <c r="F9" s="11">
        <f t="shared" si="2"/>
        <v>1863.28125</v>
      </c>
      <c r="G9" s="10">
        <f t="shared" si="3"/>
        <v>331.25</v>
      </c>
      <c r="H9" s="11">
        <f t="shared" si="18"/>
        <v>1892.4966523356291</v>
      </c>
      <c r="I9" s="27">
        <f t="shared" si="4"/>
        <v>630.83221744520972</v>
      </c>
      <c r="J9" s="11">
        <f t="shared" si="19"/>
        <v>1885.5252897053881</v>
      </c>
      <c r="K9" s="11">
        <f t="shared" si="20"/>
        <v>162.28974392417734</v>
      </c>
      <c r="L9" s="12">
        <f t="shared" si="24"/>
        <v>6.5465367070797722</v>
      </c>
      <c r="M9" s="11">
        <f t="shared" si="5"/>
        <v>464.80410620266389</v>
      </c>
      <c r="N9" s="11">
        <f t="shared" si="6"/>
        <v>463.09191401866991</v>
      </c>
      <c r="O9" s="11">
        <f t="shared" si="7"/>
        <v>-39.858955246996466</v>
      </c>
      <c r="P9" s="11">
        <f t="shared" si="21"/>
        <v>1845.6663344583917</v>
      </c>
      <c r="Q9" s="11">
        <f t="shared" si="8"/>
        <v>625.38165794284726</v>
      </c>
      <c r="R9" s="13">
        <f t="shared" si="9"/>
        <v>0.9963163144190309</v>
      </c>
      <c r="S9" s="13">
        <f t="shared" si="10"/>
        <v>8.5754309643764542E-2</v>
      </c>
      <c r="T9" s="13">
        <f t="shared" si="11"/>
        <v>0.75355405010279419</v>
      </c>
      <c r="U9" s="12">
        <f t="shared" si="12"/>
        <v>6.5465367070797725E-2</v>
      </c>
      <c r="V9" s="12">
        <f t="shared" si="13"/>
        <v>0.01</v>
      </c>
      <c r="W9" s="11">
        <f t="shared" si="14"/>
        <v>13.978828057901111</v>
      </c>
      <c r="X9" s="11">
        <f t="shared" si="22"/>
        <v>482.95262523491164</v>
      </c>
      <c r="Y9" s="12">
        <f t="shared" si="23"/>
        <v>0.26166843714827437</v>
      </c>
      <c r="Z9" s="35" t="str">
        <f t="shared" si="15"/>
        <v>Nej</v>
      </c>
      <c r="AA9" s="10" t="str">
        <f t="shared" si="16"/>
        <v>Ja</v>
      </c>
    </row>
    <row r="10" spans="1:27" x14ac:dyDescent="0.25">
      <c r="A10" s="10">
        <v>3</v>
      </c>
      <c r="B10" s="12">
        <f t="shared" si="0"/>
        <v>1.68</v>
      </c>
      <c r="C10" s="12">
        <f t="shared" si="1"/>
        <v>12.042575142884985</v>
      </c>
      <c r="D10" s="12">
        <f t="shared" si="25"/>
        <v>2.957424857115015</v>
      </c>
      <c r="E10" s="12">
        <f t="shared" si="17"/>
        <v>87.042575142884985</v>
      </c>
      <c r="F10" s="11">
        <f t="shared" si="2"/>
        <v>1863.28125</v>
      </c>
      <c r="G10" s="10">
        <f t="shared" si="3"/>
        <v>397.5</v>
      </c>
      <c r="H10" s="11">
        <f t="shared" si="18"/>
        <v>1905.2095072725106</v>
      </c>
      <c r="I10" s="27">
        <f t="shared" si="4"/>
        <v>635.06983575750348</v>
      </c>
      <c r="J10" s="11">
        <f t="shared" si="19"/>
        <v>1902.6720514434301</v>
      </c>
      <c r="K10" s="11">
        <f t="shared" si="20"/>
        <v>98.29715793252646</v>
      </c>
      <c r="L10" s="12">
        <f t="shared" si="24"/>
        <v>6.5465367070797722</v>
      </c>
      <c r="M10" s="11">
        <f t="shared" si="5"/>
        <v>464.80410620266389</v>
      </c>
      <c r="N10" s="11">
        <f t="shared" si="6"/>
        <v>464.18505623248348</v>
      </c>
      <c r="O10" s="11">
        <f t="shared" si="7"/>
        <v>-23.981049045098537</v>
      </c>
      <c r="P10" s="11">
        <f t="shared" si="21"/>
        <v>1878.6910023983314</v>
      </c>
      <c r="Q10" s="11">
        <f t="shared" si="8"/>
        <v>562.48221416500996</v>
      </c>
      <c r="R10" s="13">
        <f t="shared" si="9"/>
        <v>0.99866814866323383</v>
      </c>
      <c r="S10" s="13">
        <f t="shared" si="10"/>
        <v>5.1593883799818024E-2</v>
      </c>
      <c r="T10" s="13">
        <f t="shared" si="11"/>
        <v>0.75355405010279419</v>
      </c>
      <c r="U10" s="12">
        <f t="shared" si="12"/>
        <v>6.5465367070797725E-2</v>
      </c>
      <c r="V10" s="12">
        <f t="shared" si="13"/>
        <v>0.01</v>
      </c>
      <c r="W10" s="11">
        <f t="shared" si="14"/>
        <v>13.978828057901111</v>
      </c>
      <c r="X10" s="11">
        <f t="shared" si="22"/>
        <v>435.10174566509028</v>
      </c>
      <c r="Y10" s="12">
        <f t="shared" si="23"/>
        <v>0.2315983549767581</v>
      </c>
      <c r="Z10" s="35" t="str">
        <f t="shared" si="15"/>
        <v>Nej</v>
      </c>
      <c r="AA10" s="10" t="str">
        <f t="shared" si="16"/>
        <v>Ja</v>
      </c>
    </row>
    <row r="11" spans="1:27" x14ac:dyDescent="0.25">
      <c r="A11" s="10">
        <v>3.5</v>
      </c>
      <c r="B11" s="12">
        <f t="shared" si="0"/>
        <v>1.5644444444444443</v>
      </c>
      <c r="C11" s="12">
        <f t="shared" si="1"/>
        <v>13.97631066602688</v>
      </c>
      <c r="D11" s="12">
        <f t="shared" si="25"/>
        <v>1.0236893339731203</v>
      </c>
      <c r="E11" s="12">
        <f t="shared" si="17"/>
        <v>88.976310666026876</v>
      </c>
      <c r="F11" s="11">
        <f t="shared" si="2"/>
        <v>1863.28125</v>
      </c>
      <c r="G11" s="10">
        <f t="shared" si="3"/>
        <v>463.75</v>
      </c>
      <c r="H11" s="11">
        <f t="shared" si="18"/>
        <v>1920.1252769289722</v>
      </c>
      <c r="I11" s="27">
        <f t="shared" si="4"/>
        <v>640.0417589763241</v>
      </c>
      <c r="J11" s="11">
        <f t="shared" si="19"/>
        <v>1919.8188131814718</v>
      </c>
      <c r="K11" s="11">
        <f t="shared" si="20"/>
        <v>34.304571940875967</v>
      </c>
      <c r="L11" s="12">
        <f t="shared" si="24"/>
        <v>6.5465367070797722</v>
      </c>
      <c r="M11" s="11">
        <f t="shared" si="5"/>
        <v>464.80410620266389</v>
      </c>
      <c r="N11" s="11">
        <f t="shared" si="6"/>
        <v>464.72992062219578</v>
      </c>
      <c r="O11" s="11">
        <f t="shared" si="7"/>
        <v>-8.3040966603730624</v>
      </c>
      <c r="P11" s="11">
        <f t="shared" si="21"/>
        <v>1911.5147165210988</v>
      </c>
      <c r="Q11" s="11">
        <f t="shared" si="8"/>
        <v>499.03449256307175</v>
      </c>
      <c r="R11" s="13">
        <f t="shared" si="9"/>
        <v>0.99984039387888768</v>
      </c>
      <c r="S11" s="13">
        <f t="shared" si="10"/>
        <v>1.7865798837741635E-2</v>
      </c>
      <c r="T11" s="13">
        <f t="shared" si="11"/>
        <v>0.75355405010279419</v>
      </c>
      <c r="U11" s="12">
        <f t="shared" si="12"/>
        <v>6.5465367070797725E-2</v>
      </c>
      <c r="V11" s="12">
        <f t="shared" si="13"/>
        <v>0.01</v>
      </c>
      <c r="W11" s="11">
        <f t="shared" si="14"/>
        <v>13.978828057901111</v>
      </c>
      <c r="X11" s="11">
        <f t="shared" si="22"/>
        <v>386.83132718132987</v>
      </c>
      <c r="Y11" s="12">
        <f t="shared" si="23"/>
        <v>0.20236900288445159</v>
      </c>
      <c r="Z11" s="35" t="str">
        <f t="shared" si="15"/>
        <v>Nej</v>
      </c>
      <c r="AA11" s="10" t="str">
        <f t="shared" si="16"/>
        <v>Ja</v>
      </c>
    </row>
    <row r="12" spans="1:27" x14ac:dyDescent="0.25">
      <c r="A12" s="15">
        <v>4</v>
      </c>
      <c r="B12" s="12">
        <f t="shared" si="0"/>
        <v>1.431111111111111</v>
      </c>
      <c r="C12" s="12">
        <f t="shared" si="1"/>
        <v>15.878107876058362</v>
      </c>
      <c r="D12" s="12">
        <f t="shared" si="25"/>
        <v>0.87810787605836182</v>
      </c>
      <c r="E12" s="12">
        <f t="shared" si="17"/>
        <v>89.121892123941635</v>
      </c>
      <c r="F12" s="11">
        <f t="shared" si="2"/>
        <v>1863.28125</v>
      </c>
      <c r="G12" s="10">
        <f t="shared" si="3"/>
        <v>530</v>
      </c>
      <c r="H12" s="11">
        <f t="shared" si="18"/>
        <v>1937.1930767483045</v>
      </c>
      <c r="I12" s="27">
        <f t="shared" si="4"/>
        <v>645.73102558276821</v>
      </c>
      <c r="J12" s="11">
        <f t="shared" si="19"/>
        <v>1936.965574919514</v>
      </c>
      <c r="K12" s="11">
        <f t="shared" si="20"/>
        <v>29.688014050774964</v>
      </c>
      <c r="L12" s="12">
        <f t="shared" si="24"/>
        <v>6.5465367070797722</v>
      </c>
      <c r="M12" s="11">
        <f t="shared" si="5"/>
        <v>464.80410620266389</v>
      </c>
      <c r="N12" s="11">
        <f t="shared" si="6"/>
        <v>464.74952011857152</v>
      </c>
      <c r="O12" s="11">
        <f t="shared" si="7"/>
        <v>-7.1232501300103772</v>
      </c>
      <c r="P12" s="11">
        <f t="shared" si="21"/>
        <v>1929.8423247895037</v>
      </c>
      <c r="Q12" s="11">
        <f t="shared" si="8"/>
        <v>494.43753416934646</v>
      </c>
      <c r="R12" s="13">
        <f t="shared" si="9"/>
        <v>0.99988256109753793</v>
      </c>
      <c r="S12" s="13">
        <f t="shared" si="10"/>
        <v>1.5325273668956162E-2</v>
      </c>
      <c r="T12" s="13">
        <f t="shared" si="11"/>
        <v>0.75355405010279419</v>
      </c>
      <c r="U12" s="12">
        <f t="shared" si="12"/>
        <v>6.5465367070797725E-2</v>
      </c>
      <c r="V12" s="12">
        <f t="shared" si="13"/>
        <v>0.01</v>
      </c>
      <c r="W12" s="11">
        <f t="shared" si="14"/>
        <v>13.978828057901111</v>
      </c>
      <c r="X12" s="11">
        <f t="shared" si="22"/>
        <v>383.33220118222607</v>
      </c>
      <c r="Y12" s="12">
        <f t="shared" si="23"/>
        <v>0.19863394861755754</v>
      </c>
      <c r="Z12" s="35" t="str">
        <f t="shared" si="15"/>
        <v>Nej</v>
      </c>
      <c r="AA12" s="10" t="str">
        <f t="shared" si="16"/>
        <v>Ja</v>
      </c>
    </row>
    <row r="13" spans="1:27" x14ac:dyDescent="0.25">
      <c r="A13" s="10">
        <v>4.5</v>
      </c>
      <c r="B13" s="12">
        <f t="shared" si="0"/>
        <v>1.28</v>
      </c>
      <c r="C13" s="12">
        <f t="shared" si="1"/>
        <v>17.744671625056935</v>
      </c>
      <c r="D13" s="12">
        <f t="shared" si="25"/>
        <v>2.7446716250569345</v>
      </c>
      <c r="E13" s="12">
        <f t="shared" si="17"/>
        <v>87.255328374943062</v>
      </c>
      <c r="F13" s="11">
        <f t="shared" si="2"/>
        <v>1863.28125</v>
      </c>
      <c r="G13" s="10">
        <f t="shared" si="3"/>
        <v>596.25</v>
      </c>
      <c r="H13" s="11">
        <f t="shared" si="18"/>
        <v>1956.3565828093717</v>
      </c>
      <c r="I13" s="27">
        <f t="shared" si="4"/>
        <v>652.11886093645728</v>
      </c>
      <c r="J13" s="11">
        <f t="shared" si="19"/>
        <v>1954.1123366575559</v>
      </c>
      <c r="K13" s="11">
        <f t="shared" si="20"/>
        <v>93.680600042425922</v>
      </c>
      <c r="L13" s="12">
        <f t="shared" si="24"/>
        <v>6.5465367070797722</v>
      </c>
      <c r="M13" s="11">
        <f t="shared" si="5"/>
        <v>464.80410620266389</v>
      </c>
      <c r="N13" s="11">
        <f t="shared" si="6"/>
        <v>464.27090339298195</v>
      </c>
      <c r="O13" s="11">
        <f t="shared" si="7"/>
        <v>-22.257255121006644</v>
      </c>
      <c r="P13" s="11">
        <f t="shared" si="21"/>
        <v>1931.8550815365493</v>
      </c>
      <c r="Q13" s="11">
        <f t="shared" si="8"/>
        <v>557.95150343540786</v>
      </c>
      <c r="R13" s="13">
        <f t="shared" si="9"/>
        <v>0.99885284402059615</v>
      </c>
      <c r="S13" s="13">
        <f t="shared" si="10"/>
        <v>4.7885237724862251E-2</v>
      </c>
      <c r="T13" s="13">
        <f t="shared" si="11"/>
        <v>0.75355405010279419</v>
      </c>
      <c r="U13" s="12">
        <f t="shared" si="12"/>
        <v>6.5465367070797725E-2</v>
      </c>
      <c r="V13" s="12">
        <f t="shared" si="13"/>
        <v>0.01</v>
      </c>
      <c r="W13" s="11">
        <f t="shared" si="14"/>
        <v>13.978828057901111</v>
      </c>
      <c r="X13" s="11">
        <f t="shared" si="22"/>
        <v>431.63771326356198</v>
      </c>
      <c r="Y13" s="12">
        <f t="shared" si="23"/>
        <v>0.22343172497196226</v>
      </c>
      <c r="Z13" s="35" t="str">
        <f t="shared" si="15"/>
        <v>Nej</v>
      </c>
      <c r="AA13" s="10" t="str">
        <f t="shared" si="16"/>
        <v>Ja</v>
      </c>
    </row>
    <row r="14" spans="1:27" x14ac:dyDescent="0.25">
      <c r="A14" s="10">
        <v>5</v>
      </c>
      <c r="B14" s="12">
        <f t="shared" ref="B14:B16" si="26">($B$23*$B$24^2)/(8*$B$27)*(1-((2*A14)/$B$24)^2)</f>
        <v>1.1111111111111112</v>
      </c>
      <c r="C14" s="12">
        <f t="shared" ref="C14:C16" si="27">ATAN((8*$B$25*A14)/$B$24^2)*180/PI()</f>
        <v>19.573125830410195</v>
      </c>
      <c r="D14" s="12">
        <f t="shared" ref="D14:D17" si="28">ABS(C14-$B$31)</f>
        <v>4.5731258304101949</v>
      </c>
      <c r="E14" s="12">
        <f t="shared" ref="E14:E17" si="29">180-(D14+90)</f>
        <v>85.426874169589809</v>
      </c>
      <c r="F14" s="11">
        <f t="shared" si="2"/>
        <v>1863.28125</v>
      </c>
      <c r="G14" s="10">
        <f t="shared" ref="G14:G16" si="30">($B$23*A14)</f>
        <v>662.5</v>
      </c>
      <c r="H14" s="11">
        <f t="shared" ref="H14:H17" si="31">(F14^2+G14^2)^0.5</f>
        <v>1977.5548706929885</v>
      </c>
      <c r="I14" s="27">
        <f t="shared" ref="I14:I16" si="32">H14/$H$23</f>
        <v>659.1849568976628</v>
      </c>
      <c r="J14" s="11">
        <f t="shared" ref="J14:J17" si="33">SIN((90-D14)*PI()/180)*H14</f>
        <v>1971.2590983955979</v>
      </c>
      <c r="K14" s="11">
        <f t="shared" ref="K14:K17" si="34">COS((90-D14)*PI()/180)*H14</f>
        <v>157.67318603407656</v>
      </c>
      <c r="L14" s="12">
        <f t="shared" si="24"/>
        <v>6.5465367070797722</v>
      </c>
      <c r="M14" s="11">
        <f t="shared" ref="M14:M16" si="35">$G$32*L14*1000</f>
        <v>464.80410620266389</v>
      </c>
      <c r="N14" s="11">
        <f t="shared" ref="N14:N16" si="36">COS(D14*PI()/180)*$G$32*1000*L14</f>
        <v>463.32434912542089</v>
      </c>
      <c r="O14" s="11">
        <f t="shared" ref="O14:O16" si="37">-SIN(D14*PI()/180)*$G$32*1000*L14</f>
        <v>-37.059474501970953</v>
      </c>
      <c r="P14" s="11">
        <f t="shared" ref="P14:P17" si="38">J14+O14</f>
        <v>1934.1996238936269</v>
      </c>
      <c r="Q14" s="11">
        <f t="shared" ref="Q14:Q17" si="39">K14+N14</f>
        <v>620.99753515949749</v>
      </c>
      <c r="R14" s="13">
        <f t="shared" ref="R14:R17" si="40">SIN(E14*PI()/180)</f>
        <v>0.99681638553210694</v>
      </c>
      <c r="S14" s="13">
        <f t="shared" ref="S14:S17" si="41">COS(E14*PI()/180)</f>
        <v>7.9731383624679714E-2</v>
      </c>
      <c r="T14" s="13">
        <f t="shared" si="11"/>
        <v>0.75355405010279419</v>
      </c>
      <c r="U14" s="12">
        <f t="shared" ref="U14:U16" si="42">L14/$G$25^2</f>
        <v>6.5465367070797725E-2</v>
      </c>
      <c r="V14" s="12">
        <f t="shared" ref="V14:V17" si="43">U14/L14</f>
        <v>0.01</v>
      </c>
      <c r="W14" s="11">
        <f t="shared" ref="W14:W16" si="44">$G$28*U14*$G$27/1000</f>
        <v>13.978828057901111</v>
      </c>
      <c r="X14" s="11">
        <f t="shared" ref="X14:X17" si="45">((Q14+((R14+(S14/T14))*W14))*T14)</f>
        <v>479.57002595848473</v>
      </c>
      <c r="Y14" s="12">
        <f t="shared" ref="Y14:Y17" si="46">X14/P14</f>
        <v>0.24794236336014255</v>
      </c>
      <c r="Z14" s="35" t="str">
        <f t="shared" ref="Z14:Z16" si="47">IF(D14&lt;$M$24, "Nej", "Ja")</f>
        <v>Nej</v>
      </c>
      <c r="AA14" s="10" t="str">
        <f t="shared" ref="AA14:AA16" si="48">IF(AND(Y14&lt;1,D14&gt;$M$24), "Nej", "Ja")</f>
        <v>Ja</v>
      </c>
    </row>
    <row r="15" spans="1:27" x14ac:dyDescent="0.25">
      <c r="A15" s="15">
        <v>5.5</v>
      </c>
      <c r="B15" s="12">
        <f t="shared" si="26"/>
        <v>0.92444444444444462</v>
      </c>
      <c r="C15" s="12">
        <f t="shared" si="27"/>
        <v>21.361020161252576</v>
      </c>
      <c r="D15" s="12">
        <f t="shared" si="28"/>
        <v>6.3610201612525756</v>
      </c>
      <c r="E15" s="12">
        <f t="shared" si="29"/>
        <v>83.638979838747417</v>
      </c>
      <c r="F15" s="11">
        <f t="shared" si="2"/>
        <v>1863.28125</v>
      </c>
      <c r="G15" s="10">
        <f t="shared" si="30"/>
        <v>728.75</v>
      </c>
      <c r="H15" s="11">
        <f t="shared" si="31"/>
        <v>2000.723263997688</v>
      </c>
      <c r="I15" s="27">
        <f t="shared" si="32"/>
        <v>666.90775466589605</v>
      </c>
      <c r="J15" s="11">
        <f t="shared" si="33"/>
        <v>1988.4058601336401</v>
      </c>
      <c r="K15" s="11">
        <f t="shared" si="34"/>
        <v>221.66577202572773</v>
      </c>
      <c r="L15" s="12">
        <f t="shared" si="24"/>
        <v>6.5465367070797722</v>
      </c>
      <c r="M15" s="11">
        <f t="shared" si="35"/>
        <v>464.80410620266389</v>
      </c>
      <c r="N15" s="11">
        <f t="shared" si="36"/>
        <v>461.94255108567768</v>
      </c>
      <c r="O15" s="11">
        <f t="shared" si="37"/>
        <v>-51.496957573369201</v>
      </c>
      <c r="P15" s="11">
        <f t="shared" si="38"/>
        <v>1936.9089025602709</v>
      </c>
      <c r="Q15" s="11">
        <f t="shared" si="39"/>
        <v>683.60832311140541</v>
      </c>
      <c r="R15" s="13">
        <f t="shared" si="40"/>
        <v>0.99384352444653623</v>
      </c>
      <c r="S15" s="13">
        <f t="shared" si="41"/>
        <v>0.11079281978398782</v>
      </c>
      <c r="T15" s="13">
        <f t="shared" si="11"/>
        <v>0.75355405010279419</v>
      </c>
      <c r="U15" s="12">
        <f t="shared" si="42"/>
        <v>6.5465367070797725E-2</v>
      </c>
      <c r="V15" s="12">
        <f t="shared" si="43"/>
        <v>0.01</v>
      </c>
      <c r="W15" s="11">
        <f t="shared" si="44"/>
        <v>13.978828057901111</v>
      </c>
      <c r="X15" s="11">
        <f t="shared" si="45"/>
        <v>527.15352574354313</v>
      </c>
      <c r="Y15" s="12">
        <f t="shared" si="46"/>
        <v>0.27216227105298241</v>
      </c>
      <c r="Z15" s="35" t="str">
        <f t="shared" si="47"/>
        <v>Nej</v>
      </c>
      <c r="AA15" s="10" t="str">
        <f t="shared" si="48"/>
        <v>Ja</v>
      </c>
    </row>
    <row r="16" spans="1:27" x14ac:dyDescent="0.25">
      <c r="A16" s="10">
        <v>6</v>
      </c>
      <c r="B16" s="12">
        <f t="shared" si="26"/>
        <v>0.71999999999999975</v>
      </c>
      <c r="C16" s="12">
        <f t="shared" si="27"/>
        <v>23.106326858271576</v>
      </c>
      <c r="D16" s="12">
        <f t="shared" si="28"/>
        <v>8.1063268582715757</v>
      </c>
      <c r="E16" s="12">
        <f t="shared" si="29"/>
        <v>81.893673141728428</v>
      </c>
      <c r="F16" s="11">
        <f t="shared" si="2"/>
        <v>1863.28125</v>
      </c>
      <c r="G16" s="10">
        <f t="shared" si="30"/>
        <v>795</v>
      </c>
      <c r="H16" s="11">
        <f t="shared" si="31"/>
        <v>2025.7941693571838</v>
      </c>
      <c r="I16" s="27">
        <f t="shared" si="32"/>
        <v>675.26472311906127</v>
      </c>
      <c r="J16" s="11">
        <f t="shared" si="33"/>
        <v>2005.5526218716818</v>
      </c>
      <c r="K16" s="11">
        <f t="shared" si="34"/>
        <v>285.65835801737796</v>
      </c>
      <c r="L16" s="12">
        <f t="shared" si="24"/>
        <v>6.5465367070797722</v>
      </c>
      <c r="M16" s="11">
        <f t="shared" si="35"/>
        <v>464.80410620266389</v>
      </c>
      <c r="N16" s="11">
        <f t="shared" si="36"/>
        <v>460.15982667541903</v>
      </c>
      <c r="O16" s="11">
        <f t="shared" si="37"/>
        <v>-65.542284495625552</v>
      </c>
      <c r="P16" s="11">
        <f t="shared" si="38"/>
        <v>1940.0103373760562</v>
      </c>
      <c r="Q16" s="11">
        <f t="shared" si="39"/>
        <v>745.81818469279699</v>
      </c>
      <c r="R16" s="13">
        <f t="shared" si="40"/>
        <v>0.9900080927313929</v>
      </c>
      <c r="S16" s="13">
        <f t="shared" si="41"/>
        <v>0.14101055395377204</v>
      </c>
      <c r="T16" s="13">
        <f t="shared" si="11"/>
        <v>0.75355405010279419</v>
      </c>
      <c r="U16" s="12">
        <f t="shared" si="42"/>
        <v>6.5465367070797725E-2</v>
      </c>
      <c r="V16" s="12">
        <f t="shared" si="43"/>
        <v>0.01</v>
      </c>
      <c r="W16" s="11">
        <f t="shared" si="44"/>
        <v>13.978828057901111</v>
      </c>
      <c r="X16" s="11">
        <f t="shared" si="45"/>
        <v>574.41402572460902</v>
      </c>
      <c r="Y16" s="12">
        <f t="shared" si="46"/>
        <v>0.29608812626304232</v>
      </c>
      <c r="Z16" s="35" t="str">
        <f t="shared" si="47"/>
        <v>Nej</v>
      </c>
      <c r="AA16" s="10" t="str">
        <f t="shared" si="48"/>
        <v>Ja</v>
      </c>
    </row>
    <row r="17" spans="1:28" x14ac:dyDescent="0.25">
      <c r="A17" s="10">
        <v>6.5</v>
      </c>
      <c r="B17" s="12">
        <f>($B$23*$B$24^2)/(8*$B$27)*(1-((2*A17)/$B$24)^2)</f>
        <v>0.49777777777777765</v>
      </c>
      <c r="C17" s="12">
        <f>ATAN((8*$B$25*A17)/$B$24^2)*180/PI()</f>
        <v>24.807428973141768</v>
      </c>
      <c r="D17" s="12">
        <f t="shared" si="28"/>
        <v>9.8074289731417679</v>
      </c>
      <c r="E17" s="12">
        <f t="shared" si="29"/>
        <v>80.192571026858232</v>
      </c>
      <c r="F17" s="11">
        <f t="shared" si="2"/>
        <v>1863.28125</v>
      </c>
      <c r="G17" s="10">
        <f>($B$23*A17)</f>
        <v>861.25</v>
      </c>
      <c r="H17" s="11">
        <f t="shared" si="31"/>
        <v>2052.6978781841135</v>
      </c>
      <c r="I17" s="27">
        <f>H17/$H$23</f>
        <v>684.23262606137121</v>
      </c>
      <c r="J17" s="11">
        <f t="shared" si="33"/>
        <v>2022.6993836097238</v>
      </c>
      <c r="K17" s="11">
        <f t="shared" si="34"/>
        <v>349.65094400902888</v>
      </c>
      <c r="L17" s="12">
        <f t="shared" si="24"/>
        <v>6.5465367070797722</v>
      </c>
      <c r="M17" s="11">
        <f>$G$32*L17*1000</f>
        <v>464.80410620266389</v>
      </c>
      <c r="N17" s="11">
        <f>COS(D17*PI()/180)*$G$32*1000*L17</f>
        <v>458.01137571550152</v>
      </c>
      <c r="O17" s="11">
        <f>-SIN(D17*PI()/180)*$G$32*1000*L17</f>
        <v>-79.173460566347103</v>
      </c>
      <c r="P17" s="11">
        <f t="shared" si="38"/>
        <v>1943.5259230433767</v>
      </c>
      <c r="Q17" s="11">
        <f t="shared" si="39"/>
        <v>807.66231972453033</v>
      </c>
      <c r="R17" s="13">
        <f t="shared" si="40"/>
        <v>0.98538582082964521</v>
      </c>
      <c r="S17" s="13">
        <f t="shared" si="41"/>
        <v>0.17033726576379668</v>
      </c>
      <c r="T17" s="13">
        <f t="shared" si="11"/>
        <v>0.75355405010279419</v>
      </c>
      <c r="U17" s="12">
        <f>L17/$G$25^2</f>
        <v>6.5465367070797725E-2</v>
      </c>
      <c r="V17" s="12">
        <f t="shared" si="43"/>
        <v>0.01</v>
      </c>
      <c r="W17" s="11">
        <f>$G$28*U17*$G$27/1000</f>
        <v>13.978828057901111</v>
      </c>
      <c r="X17" s="11">
        <f t="shared" si="45"/>
        <v>621.37818711546333</v>
      </c>
      <c r="Y17" s="12">
        <f t="shared" si="46"/>
        <v>0.31971695347517887</v>
      </c>
      <c r="Z17" s="35" t="str">
        <f>IF(D17&lt;$M$24, "Nej", "Ja")</f>
        <v>Nej</v>
      </c>
      <c r="AA17" s="10" t="str">
        <f>IF(AND(Y17&lt;1,D17&gt;$M$24), "Nej", "Ja")</f>
        <v>Ja</v>
      </c>
    </row>
    <row r="18" spans="1:28" x14ac:dyDescent="0.25">
      <c r="A18" s="10">
        <v>7</v>
      </c>
      <c r="B18" s="12">
        <f t="shared" ref="B18:B19" si="49">($B$23*$B$24^2)/(8*$B$27)*(1-((2*A18)/$B$24)^2)</f>
        <v>0.25777777777777766</v>
      </c>
      <c r="C18" s="12">
        <f t="shared" ref="C18:C19" si="50">ATAN((8*$B$25*A18)/$B$24^2)*180/PI()</f>
        <v>26.463101499062404</v>
      </c>
      <c r="D18" s="12">
        <f t="shared" ref="D18:D19" si="51">ABS(C18-$B$31)</f>
        <v>11.463101499062404</v>
      </c>
      <c r="E18" s="12">
        <f t="shared" ref="E18:E19" si="52">180-(D18+90)</f>
        <v>78.536898500937596</v>
      </c>
      <c r="F18" s="11">
        <f t="shared" si="2"/>
        <v>1863.28125</v>
      </c>
      <c r="G18" s="10">
        <f t="shared" ref="G18:G19" si="53">($B$23*A18)</f>
        <v>927.5</v>
      </c>
      <c r="H18" s="11">
        <f t="shared" ref="H18:H19" si="54">(F18^2+G18^2)^0.5</f>
        <v>2081.3633192216976</v>
      </c>
      <c r="I18" s="27">
        <f t="shared" ref="I18:I19" si="55">H18/$H$23</f>
        <v>693.78777307389919</v>
      </c>
      <c r="J18" s="11">
        <f t="shared" ref="J18:J19" si="56">SIN((90-D18)*PI()/180)*H18</f>
        <v>2039.846145347766</v>
      </c>
      <c r="K18" s="11">
        <f t="shared" ref="K18:K19" si="57">COS((90-D18)*PI()/180)*H18</f>
        <v>413.6435300006799</v>
      </c>
      <c r="L18" s="12">
        <f t="shared" si="24"/>
        <v>6.5465367070797722</v>
      </c>
      <c r="M18" s="11">
        <f t="shared" ref="M18:M19" si="58">$G$32*L18*1000</f>
        <v>464.80410620266389</v>
      </c>
      <c r="N18" s="11">
        <f t="shared" ref="N18:N19" si="59">COS(D18*PI()/180)*$G$32*1000*L18</f>
        <v>455.53260962332109</v>
      </c>
      <c r="O18" s="11">
        <f t="shared" ref="O18:O19" si="60">-SIN(D18*PI()/180)*$G$32*1000*L18</f>
        <v>-92.37369058679063</v>
      </c>
      <c r="P18" s="11">
        <f t="shared" ref="P18:P19" si="61">J18+O18</f>
        <v>1947.4724547609753</v>
      </c>
      <c r="Q18" s="11">
        <f t="shared" ref="Q18:Q19" si="62">K18+N18</f>
        <v>869.17613962400105</v>
      </c>
      <c r="R18" s="13">
        <f t="shared" ref="R18:R19" si="63">SIN(E18*PI()/180)</f>
        <v>0.98005289442236521</v>
      </c>
      <c r="S18" s="13">
        <f t="shared" ref="S18:S19" si="64">COS(E18*PI()/180)</f>
        <v>0.19873682128469394</v>
      </c>
      <c r="T18" s="13">
        <f t="shared" si="11"/>
        <v>0.75355405010279419</v>
      </c>
      <c r="U18" s="12">
        <f t="shared" ref="U18:U19" si="65">L18/$G$25^2</f>
        <v>6.5465367070797725E-2</v>
      </c>
      <c r="V18" s="12">
        <f t="shared" ref="V18:V19" si="66">U18/L18</f>
        <v>0.01</v>
      </c>
      <c r="W18" s="11">
        <f t="shared" ref="W18:W19" si="67">$G$28*U18*$G$27/1000</f>
        <v>13.978828057901111</v>
      </c>
      <c r="X18" s="11">
        <f t="shared" ref="X18:X19" si="68">((Q18+((R18+(S18/T18))*W18))*T18)</f>
        <v>668.07299174803632</v>
      </c>
      <c r="Y18" s="12">
        <f t="shared" ref="Y18:Y19" si="69">X18/P18</f>
        <v>0.34304618281752941</v>
      </c>
      <c r="Z18" s="35" t="str">
        <f t="shared" ref="Z18:Z19" si="70">IF(D18&lt;$M$24, "Nej", "Ja")</f>
        <v>Nej</v>
      </c>
      <c r="AA18" s="10" t="str">
        <f t="shared" ref="AA18:AA19" si="71">IF(AND(Y18&lt;1,D18&gt;$M$24), "Nej", "Ja")</f>
        <v>Ja</v>
      </c>
    </row>
    <row r="19" spans="1:28" ht="15.75" thickBot="1" x14ac:dyDescent="0.3">
      <c r="A19" s="36">
        <v>7.5</v>
      </c>
      <c r="B19" s="17">
        <f t="shared" si="49"/>
        <v>0</v>
      </c>
      <c r="C19" s="17">
        <f t="shared" si="50"/>
        <v>28.072486935852954</v>
      </c>
      <c r="D19" s="17">
        <f t="shared" si="51"/>
        <v>13.072486935852954</v>
      </c>
      <c r="E19" s="17">
        <f t="shared" si="52"/>
        <v>76.92751306414705</v>
      </c>
      <c r="F19" s="18">
        <f t="shared" si="2"/>
        <v>1863.28125</v>
      </c>
      <c r="G19" s="16">
        <f t="shared" si="53"/>
        <v>993.75</v>
      </c>
      <c r="H19" s="18">
        <f t="shared" si="54"/>
        <v>2111.71875</v>
      </c>
      <c r="I19" s="37">
        <f t="shared" si="55"/>
        <v>703.90625</v>
      </c>
      <c r="J19" s="18">
        <f t="shared" si="56"/>
        <v>2056.9929070858079</v>
      </c>
      <c r="K19" s="18">
        <f t="shared" si="57"/>
        <v>477.63611599233047</v>
      </c>
      <c r="L19" s="17">
        <f>IF($H$23/TAN(D19*PI()/180)&gt;$M$23,$M$23,$H$23/TAN(D19*PI()/180))</f>
        <v>6.5465367070797722</v>
      </c>
      <c r="M19" s="18">
        <f t="shared" si="58"/>
        <v>464.80410620266389</v>
      </c>
      <c r="N19" s="18">
        <f t="shared" si="59"/>
        <v>452.75856438895488</v>
      </c>
      <c r="O19" s="18">
        <f t="shared" si="60"/>
        <v>-105.13105875672457</v>
      </c>
      <c r="P19" s="18">
        <f t="shared" si="61"/>
        <v>1951.8618483290834</v>
      </c>
      <c r="Q19" s="18">
        <f t="shared" si="62"/>
        <v>930.3946803812853</v>
      </c>
      <c r="R19" s="38">
        <f t="shared" si="63"/>
        <v>0.97408469147977594</v>
      </c>
      <c r="S19" s="38">
        <f t="shared" si="64"/>
        <v>0.22618358433969035</v>
      </c>
      <c r="T19" s="38">
        <f t="shared" si="11"/>
        <v>0.75355405010279419</v>
      </c>
      <c r="U19" s="17">
        <f t="shared" si="65"/>
        <v>6.5465367070797725E-2</v>
      </c>
      <c r="V19" s="17">
        <f t="shared" si="66"/>
        <v>0.01</v>
      </c>
      <c r="W19" s="18">
        <f t="shared" si="67"/>
        <v>13.978828057901111</v>
      </c>
      <c r="X19" s="18">
        <f t="shared" si="68"/>
        <v>714.525276787493</v>
      </c>
      <c r="Y19" s="17">
        <f t="shared" si="69"/>
        <v>0.36607369389343392</v>
      </c>
      <c r="Z19" s="39" t="str">
        <f t="shared" si="70"/>
        <v>Nej</v>
      </c>
      <c r="AA19" s="16" t="str">
        <f t="shared" si="71"/>
        <v>Ja</v>
      </c>
    </row>
    <row r="20" spans="1:28" x14ac:dyDescent="0.25">
      <c r="A20" t="s">
        <v>52</v>
      </c>
      <c r="G20" s="19"/>
      <c r="H20" s="20"/>
      <c r="I20" s="28"/>
      <c r="J20" s="45">
        <f>M24</f>
        <v>24.6199773286571</v>
      </c>
      <c r="K20" t="s">
        <v>54</v>
      </c>
      <c r="L20" s="30"/>
      <c r="M20" s="29"/>
      <c r="N20" s="29"/>
      <c r="O20" s="29"/>
      <c r="P20" s="29"/>
      <c r="Q20" s="29"/>
      <c r="R20" s="31"/>
      <c r="S20" s="31"/>
      <c r="T20" s="31"/>
      <c r="U20" s="30"/>
      <c r="V20" s="30"/>
      <c r="W20" s="29"/>
      <c r="X20" s="29"/>
      <c r="Y20" s="32"/>
    </row>
    <row r="21" spans="1:28" x14ac:dyDescent="0.25">
      <c r="A21" t="s">
        <v>55</v>
      </c>
      <c r="F21" s="40">
        <f>M23</f>
        <v>6.5465367070797722</v>
      </c>
      <c r="G21" s="25" t="str">
        <f>N23</f>
        <v>m</v>
      </c>
      <c r="H21" s="20"/>
      <c r="I21" s="41"/>
      <c r="J21" s="20"/>
      <c r="K21" s="20"/>
      <c r="L21" s="21"/>
      <c r="M21" s="20"/>
      <c r="N21" s="20"/>
      <c r="O21" s="20"/>
      <c r="P21" s="20"/>
      <c r="Q21" s="20"/>
      <c r="R21" s="22"/>
      <c r="S21" s="22"/>
      <c r="T21" s="22"/>
      <c r="U21" s="21"/>
      <c r="V21" s="21"/>
      <c r="W21" s="20"/>
      <c r="X21" s="20"/>
      <c r="Y21" s="22"/>
    </row>
    <row r="22" spans="1:28" x14ac:dyDescent="0.25">
      <c r="A22" s="19"/>
      <c r="B22" s="21"/>
      <c r="C22" s="21"/>
      <c r="D22" s="21"/>
      <c r="E22" s="21"/>
      <c r="F22" s="20"/>
      <c r="G22" s="19"/>
      <c r="H22" s="20"/>
      <c r="I22" s="41"/>
      <c r="J22" s="20"/>
      <c r="K22" s="20"/>
      <c r="L22" s="21"/>
      <c r="M22" s="20"/>
      <c r="N22" s="20"/>
      <c r="O22" s="20"/>
      <c r="P22" s="20"/>
      <c r="Q22" s="20"/>
      <c r="R22" s="22"/>
      <c r="S22" s="22"/>
      <c r="T22" s="22"/>
      <c r="U22" s="21"/>
      <c r="V22" s="21"/>
      <c r="W22" s="20"/>
      <c r="X22" s="20"/>
      <c r="Y22" s="22"/>
      <c r="AA22" s="23"/>
      <c r="AB22" s="23"/>
    </row>
    <row r="23" spans="1:28" ht="18" x14ac:dyDescent="0.35">
      <c r="A23" t="s">
        <v>29</v>
      </c>
      <c r="B23" s="1">
        <f>5*26.5</f>
        <v>132.5</v>
      </c>
      <c r="C23" t="s">
        <v>1</v>
      </c>
      <c r="D23" t="s">
        <v>30</v>
      </c>
      <c r="H23">
        <v>3</v>
      </c>
      <c r="I23" s="43"/>
      <c r="J23" t="s">
        <v>0</v>
      </c>
      <c r="L23" t="s">
        <v>31</v>
      </c>
      <c r="M23" s="40">
        <f>H23/TAN(M24*PI()/180)</f>
        <v>6.5465367070797722</v>
      </c>
      <c r="N23" t="s">
        <v>0</v>
      </c>
      <c r="O23" s="20"/>
      <c r="P23" s="20"/>
      <c r="Q23" s="20"/>
      <c r="R23" s="22"/>
      <c r="S23" s="22"/>
      <c r="T23" s="22"/>
      <c r="U23" s="21"/>
      <c r="V23" s="21"/>
      <c r="W23" s="20"/>
      <c r="X23" s="20"/>
      <c r="Y23" s="22"/>
      <c r="Z23" s="1"/>
      <c r="AA23" s="1"/>
    </row>
    <row r="24" spans="1:28" ht="18" x14ac:dyDescent="0.35">
      <c r="A24" t="s">
        <v>32</v>
      </c>
      <c r="B24">
        <v>15</v>
      </c>
      <c r="C24" t="s">
        <v>0</v>
      </c>
      <c r="I24" s="43"/>
      <c r="L24" s="24" t="s">
        <v>51</v>
      </c>
      <c r="M24" s="1">
        <f>ACOS(G31/(G31+H23*0.5))*180/PI()</f>
        <v>24.6199773286571</v>
      </c>
      <c r="N24" s="24" t="s">
        <v>35</v>
      </c>
      <c r="O24" s="20"/>
      <c r="P24" s="20"/>
      <c r="Q24" s="20"/>
      <c r="R24" s="22"/>
      <c r="S24" s="22"/>
      <c r="T24" s="22"/>
      <c r="U24" s="21"/>
      <c r="V24" s="21"/>
      <c r="W24" s="20"/>
      <c r="X24" s="20"/>
      <c r="Y24" s="22"/>
    </row>
    <row r="25" spans="1:28" x14ac:dyDescent="0.25">
      <c r="A25" t="s">
        <v>33</v>
      </c>
      <c r="B25">
        <v>2</v>
      </c>
      <c r="C25" t="s">
        <v>0</v>
      </c>
      <c r="D25" t="s">
        <v>34</v>
      </c>
      <c r="G25">
        <v>10</v>
      </c>
      <c r="H25" t="s">
        <v>0</v>
      </c>
      <c r="L25" s="24"/>
      <c r="M25" s="1"/>
      <c r="N25" s="24"/>
    </row>
    <row r="27" spans="1:28" x14ac:dyDescent="0.25">
      <c r="A27" t="s">
        <v>36</v>
      </c>
      <c r="B27" s="1">
        <f>(B23*B24^2)/(8*B25)</f>
        <v>1863.28125</v>
      </c>
      <c r="C27" t="s">
        <v>37</v>
      </c>
      <c r="D27" t="s">
        <v>38</v>
      </c>
      <c r="G27">
        <v>435</v>
      </c>
      <c r="H27" t="s">
        <v>2</v>
      </c>
    </row>
    <row r="28" spans="1:28" x14ac:dyDescent="0.25">
      <c r="A28" t="s">
        <v>39</v>
      </c>
      <c r="B28" s="1">
        <f>B24*B23/2</f>
        <v>993.75</v>
      </c>
      <c r="C28" t="s">
        <v>37</v>
      </c>
      <c r="D28" s="24" t="s">
        <v>40</v>
      </c>
      <c r="G28" s="1">
        <f>25^2*PI()/4</f>
        <v>490.87385212340519</v>
      </c>
      <c r="H28" t="s">
        <v>41</v>
      </c>
    </row>
    <row r="29" spans="1:28" x14ac:dyDescent="0.25">
      <c r="A29" t="s">
        <v>42</v>
      </c>
      <c r="B29" s="1">
        <f>(B27^2+B28^2)^0.5</f>
        <v>2111.71875</v>
      </c>
      <c r="C29" t="s">
        <v>37</v>
      </c>
      <c r="D29" t="s">
        <v>43</v>
      </c>
      <c r="G29">
        <v>21.3</v>
      </c>
      <c r="H29" t="s">
        <v>2</v>
      </c>
    </row>
    <row r="30" spans="1:28" x14ac:dyDescent="0.25">
      <c r="D30" t="s">
        <v>44</v>
      </c>
      <c r="G30">
        <v>0.05</v>
      </c>
      <c r="H30" t="s">
        <v>3</v>
      </c>
    </row>
    <row r="31" spans="1:28" ht="17.25" x14ac:dyDescent="0.25">
      <c r="A31" t="s">
        <v>45</v>
      </c>
      <c r="B31">
        <v>15</v>
      </c>
      <c r="C31" t="s">
        <v>46</v>
      </c>
      <c r="D31" t="s">
        <v>47</v>
      </c>
      <c r="G31">
        <v>15</v>
      </c>
      <c r="H31" t="s">
        <v>0</v>
      </c>
    </row>
    <row r="32" spans="1:28" ht="18.75" x14ac:dyDescent="0.35">
      <c r="A32" s="24" t="s">
        <v>48</v>
      </c>
      <c r="B32">
        <v>37</v>
      </c>
      <c r="C32" t="s">
        <v>46</v>
      </c>
      <c r="D32" s="25" t="s">
        <v>49</v>
      </c>
      <c r="G32" s="2">
        <f>(G29*G30)/G31</f>
        <v>7.1000000000000008E-2</v>
      </c>
      <c r="H32" t="s">
        <v>2</v>
      </c>
    </row>
  </sheetData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2"/>
  <sheetViews>
    <sheetView zoomScaleNormal="100" workbookViewId="0">
      <selection activeCell="J23" sqref="J23"/>
    </sheetView>
  </sheetViews>
  <sheetFormatPr defaultRowHeight="15" x14ac:dyDescent="0.25"/>
  <cols>
    <col min="3" max="3" width="15.7109375" customWidth="1"/>
    <col min="6" max="6" width="9.28515625" customWidth="1"/>
    <col min="9" max="9" width="9.28515625" customWidth="1"/>
    <col min="18" max="20" width="0" hidden="1" customWidth="1"/>
    <col min="22" max="22" width="0" hidden="1" customWidth="1"/>
    <col min="25" max="25" width="15.28515625" customWidth="1"/>
  </cols>
  <sheetData>
    <row r="1" spans="1:27" ht="18.75" x14ac:dyDescent="0.3">
      <c r="A1" s="46" t="s">
        <v>58</v>
      </c>
    </row>
    <row r="2" spans="1:27" ht="24" thickBot="1" x14ac:dyDescent="0.4">
      <c r="A2" s="3"/>
    </row>
    <row r="3" spans="1:27" ht="49.5" thickBot="1" x14ac:dyDescent="0.4">
      <c r="A3" s="4" t="s">
        <v>4</v>
      </c>
      <c r="B3" s="4" t="s">
        <v>5</v>
      </c>
      <c r="C3" s="5" t="s">
        <v>53</v>
      </c>
      <c r="D3" s="6" t="s">
        <v>6</v>
      </c>
      <c r="E3" s="6" t="s">
        <v>50</v>
      </c>
      <c r="F3" s="4" t="s">
        <v>7</v>
      </c>
      <c r="G3" s="4" t="s">
        <v>8</v>
      </c>
      <c r="H3" s="4" t="s">
        <v>9</v>
      </c>
      <c r="I3" s="26" t="s">
        <v>10</v>
      </c>
      <c r="J3" s="4" t="s">
        <v>11</v>
      </c>
      <c r="K3" s="4" t="s">
        <v>12</v>
      </c>
      <c r="L3" s="5" t="s">
        <v>13</v>
      </c>
      <c r="M3" s="5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4" t="s">
        <v>26</v>
      </c>
      <c r="Z3" s="5" t="s">
        <v>56</v>
      </c>
      <c r="AA3" s="5" t="s">
        <v>27</v>
      </c>
    </row>
    <row r="4" spans="1:27" x14ac:dyDescent="0.25">
      <c r="A4" s="7" t="s">
        <v>28</v>
      </c>
      <c r="B4" s="8">
        <f t="shared" ref="B4:B13" si="0">($B$23*$B$24^2)/(8*$B$27)*(1-((2*A4)/$B$24)^2)</f>
        <v>2</v>
      </c>
      <c r="C4" s="8">
        <f t="shared" ref="C4:C13" si="1">ATAN((8*$B$25*A4)/$B$24^2)*180/PI()</f>
        <v>0</v>
      </c>
      <c r="D4" s="8">
        <f>ABS(C4-$B$31)</f>
        <v>30</v>
      </c>
      <c r="E4" s="8">
        <f>180-(D4+90)</f>
        <v>60</v>
      </c>
      <c r="F4" s="9">
        <f t="shared" ref="F4:F19" si="2">$B$27</f>
        <v>1863.28125</v>
      </c>
      <c r="G4" s="14">
        <f t="shared" ref="G4:G13" si="3">($B$23*A4)</f>
        <v>0</v>
      </c>
      <c r="H4" s="9">
        <f>(F4^2+G4^2)^0.5</f>
        <v>1863.28125</v>
      </c>
      <c r="I4" s="33">
        <f t="shared" ref="I4:I13" si="4">H4/$H$23</f>
        <v>621.09375</v>
      </c>
      <c r="J4" s="9">
        <f>SIN((90-D4)*PI()/180)*H4</f>
        <v>1613.6488968952235</v>
      </c>
      <c r="K4" s="9">
        <f>COS((90-D4)*PI()/180)*H4</f>
        <v>931.64062500000023</v>
      </c>
      <c r="L4" s="8">
        <f>IF($H$23/TAN(D4*PI()/180)&gt;$M$23,$M$23,$H$23/TAN(D4*PI()/180))</f>
        <v>5.196152422706632</v>
      </c>
      <c r="M4" s="9">
        <f t="shared" ref="M4:M13" si="5">$G$32*L4*1000</f>
        <v>516.49755081703915</v>
      </c>
      <c r="N4" s="9">
        <f t="shared" ref="N4:N13" si="6">COS(D4*PI()/180)*$G$32*1000*L4</f>
        <v>447.30000000000007</v>
      </c>
      <c r="O4" s="9">
        <f t="shared" ref="O4:O13" si="7">-SIN(D4*PI()/180)*$G$32*1000*L4</f>
        <v>-258.24877540851958</v>
      </c>
      <c r="P4" s="9">
        <f>J4+O4</f>
        <v>1355.4001214867039</v>
      </c>
      <c r="Q4" s="9">
        <f t="shared" ref="Q4:Q19" si="8">K4+N4</f>
        <v>1378.9406250000002</v>
      </c>
      <c r="R4" s="34">
        <f t="shared" ref="R4:R19" si="9">SIN(E4*PI()/180)</f>
        <v>0.8660254037844386</v>
      </c>
      <c r="S4" s="34">
        <f t="shared" ref="S4:S19" si="10">COS(E4*PI()/180)</f>
        <v>0.50000000000000011</v>
      </c>
      <c r="T4" s="34">
        <f t="shared" ref="T4:T19" si="11">TAN($B$32*PI()/180)</f>
        <v>0.75355405010279419</v>
      </c>
      <c r="U4" s="8">
        <f t="shared" ref="U4:U13" si="12">L4/$G$25^2</f>
        <v>1.3526011096175117</v>
      </c>
      <c r="V4" s="8">
        <f t="shared" ref="V4:V19" si="13">U4/L4</f>
        <v>0.26030820491461892</v>
      </c>
      <c r="W4" s="9">
        <f t="shared" ref="W4:W13" si="14">$G$28*U4*$G$27/1000</f>
        <v>288.82108492298801</v>
      </c>
      <c r="X4" s="9">
        <f>((Q4+((R4+(S4/T4))*W4))*T4)</f>
        <v>1372.0005945463147</v>
      </c>
      <c r="Y4" s="8">
        <f>X4/P4</f>
        <v>1.0122476549886996</v>
      </c>
      <c r="Z4" s="10" t="str">
        <f t="shared" ref="Z4:Z13" si="15">IF(D4&lt;$M$24, "Nej", "Ja")</f>
        <v>Ja</v>
      </c>
      <c r="AA4" s="10" t="str">
        <f t="shared" ref="AA4:AA13" si="16">IF(AND(Y4&lt;1,D4&gt;$M$24), "Nej", "Ja")</f>
        <v>Ja</v>
      </c>
    </row>
    <row r="5" spans="1:27" x14ac:dyDescent="0.25">
      <c r="A5" s="10">
        <v>0.5</v>
      </c>
      <c r="B5" s="12">
        <f t="shared" si="0"/>
        <v>1.9911111111111111</v>
      </c>
      <c r="C5" s="12">
        <f t="shared" si="1"/>
        <v>2.0363254547982761</v>
      </c>
      <c r="D5" s="12">
        <f>ABS(C5-$B$31)</f>
        <v>27.963674545201723</v>
      </c>
      <c r="E5" s="12">
        <f t="shared" ref="E5:E19" si="17">180-(D5+90)</f>
        <v>62.036325454798273</v>
      </c>
      <c r="F5" s="11">
        <f t="shared" si="2"/>
        <v>1863.28125</v>
      </c>
      <c r="G5" s="10">
        <f t="shared" si="3"/>
        <v>66.25</v>
      </c>
      <c r="H5" s="11">
        <f t="shared" ref="H5:H19" si="18">(F5^2+G5^2)^0.5</f>
        <v>1864.4586557769424</v>
      </c>
      <c r="I5" s="27">
        <f t="shared" si="4"/>
        <v>621.48621859231412</v>
      </c>
      <c r="J5" s="11">
        <f t="shared" ref="J5:J19" si="19">SIN((90-D5)*PI()/180)*H5</f>
        <v>1646.7738968952235</v>
      </c>
      <c r="K5" s="11">
        <f t="shared" ref="K5:K19" si="20">COS((90-D5)*PI()/180)*H5</f>
        <v>874.26644199928126</v>
      </c>
      <c r="L5" s="12">
        <f>IF($H$23/TAN(D5*PI()/180)&gt;$M$23,$M$23,$H$23/TAN(D5*PI()/180))</f>
        <v>5.6508193078852438</v>
      </c>
      <c r="M5" s="11">
        <f t="shared" si="5"/>
        <v>561.69143920379327</v>
      </c>
      <c r="N5" s="11">
        <f t="shared" si="6"/>
        <v>496.11118880234307</v>
      </c>
      <c r="O5" s="11">
        <f t="shared" si="7"/>
        <v>-263.38367682898382</v>
      </c>
      <c r="P5" s="11">
        <f t="shared" ref="P5:P19" si="21">J5+O5</f>
        <v>1383.3902200662396</v>
      </c>
      <c r="Q5" s="11">
        <f t="shared" si="8"/>
        <v>1370.3776308016243</v>
      </c>
      <c r="R5" s="13">
        <f t="shared" si="9"/>
        <v>0.88324505978867796</v>
      </c>
      <c r="S5" s="13">
        <f t="shared" si="10"/>
        <v>0.46891168076610629</v>
      </c>
      <c r="T5" s="13">
        <f t="shared" si="11"/>
        <v>0.75355405010279419</v>
      </c>
      <c r="U5" s="12">
        <f t="shared" si="12"/>
        <v>1.4709546303324772</v>
      </c>
      <c r="V5" s="12">
        <f t="shared" si="13"/>
        <v>0.26030820491461892</v>
      </c>
      <c r="W5" s="11">
        <f t="shared" si="14"/>
        <v>314.09312707517722</v>
      </c>
      <c r="X5" s="11">
        <f t="shared" ref="X5:X19" si="22">((Q5+((R5+(S5/T5))*W5))*T5)</f>
        <v>1388.9874209511233</v>
      </c>
      <c r="Y5" s="12">
        <f t="shared" ref="Y5:Y19" si="23">X5/P5</f>
        <v>1.0040460029308402</v>
      </c>
      <c r="Z5" s="10" t="str">
        <f t="shared" si="15"/>
        <v>Ja</v>
      </c>
      <c r="AA5" s="10" t="str">
        <f t="shared" si="16"/>
        <v>Ja</v>
      </c>
    </row>
    <row r="6" spans="1:27" x14ac:dyDescent="0.25">
      <c r="A6" s="15">
        <v>1</v>
      </c>
      <c r="B6" s="12">
        <f t="shared" si="0"/>
        <v>1.9644444444444444</v>
      </c>
      <c r="C6" s="12">
        <f t="shared" si="1"/>
        <v>4.067519566580148</v>
      </c>
      <c r="D6" s="12">
        <f>ABS(C6-$B$31)</f>
        <v>25.932480433419851</v>
      </c>
      <c r="E6" s="12">
        <f t="shared" si="17"/>
        <v>64.067519566580145</v>
      </c>
      <c r="F6" s="11">
        <f t="shared" si="2"/>
        <v>1863.28125</v>
      </c>
      <c r="G6" s="10">
        <f t="shared" si="3"/>
        <v>132.5</v>
      </c>
      <c r="H6" s="11">
        <f t="shared" si="18"/>
        <v>1867.9864203472043</v>
      </c>
      <c r="I6" s="27">
        <f t="shared" si="4"/>
        <v>622.66214011573481</v>
      </c>
      <c r="J6" s="11">
        <f t="shared" si="19"/>
        <v>1679.8988968952235</v>
      </c>
      <c r="K6" s="11">
        <f t="shared" si="20"/>
        <v>816.89225899856183</v>
      </c>
      <c r="L6" s="12">
        <f t="shared" ref="L6:L18" si="24">IF($H$23/TAN(D6*PI()/180)&gt;$M$23,$M$23,$H$23/TAN(D6*PI()/180))</f>
        <v>6.1693529779115499</v>
      </c>
      <c r="M6" s="11">
        <f t="shared" si="5"/>
        <v>613.23368600440813</v>
      </c>
      <c r="N6" s="11">
        <f t="shared" si="6"/>
        <v>551.48719575076905</v>
      </c>
      <c r="O6" s="11">
        <f t="shared" si="7"/>
        <v>-268.17424666344442</v>
      </c>
      <c r="P6" s="11">
        <f>J6+O6</f>
        <v>1411.7246502317792</v>
      </c>
      <c r="Q6" s="11">
        <f t="shared" si="8"/>
        <v>1368.3794547493308</v>
      </c>
      <c r="R6" s="13">
        <f t="shared" si="9"/>
        <v>0.89931001563864643</v>
      </c>
      <c r="S6" s="13">
        <f t="shared" si="10"/>
        <v>0.43731166891819551</v>
      </c>
      <c r="T6" s="13">
        <f t="shared" si="11"/>
        <v>0.75355405010279419</v>
      </c>
      <c r="U6" s="12">
        <f t="shared" si="12"/>
        <v>1.6059331991648143</v>
      </c>
      <c r="V6" s="12">
        <f t="shared" si="13"/>
        <v>0.26030820491461892</v>
      </c>
      <c r="W6" s="11">
        <f t="shared" si="14"/>
        <v>342.91511784119973</v>
      </c>
      <c r="X6" s="11">
        <f t="shared" si="22"/>
        <v>1413.4949355246088</v>
      </c>
      <c r="Y6" s="12">
        <f>X6/P6</f>
        <v>1.0012539876615025</v>
      </c>
      <c r="Z6" s="10" t="str">
        <f t="shared" si="15"/>
        <v>Ja</v>
      </c>
      <c r="AA6" s="10" t="str">
        <f t="shared" si="16"/>
        <v>Ja</v>
      </c>
    </row>
    <row r="7" spans="1:27" x14ac:dyDescent="0.25">
      <c r="A7" s="10">
        <v>1.5</v>
      </c>
      <c r="B7" s="12">
        <f t="shared" si="0"/>
        <v>1.92</v>
      </c>
      <c r="C7" s="12">
        <f t="shared" si="1"/>
        <v>6.088528154195175</v>
      </c>
      <c r="D7" s="12">
        <f>ABS(C7-$B$31)</f>
        <v>23.911471845804826</v>
      </c>
      <c r="E7" s="12">
        <f t="shared" si="17"/>
        <v>66.088528154195174</v>
      </c>
      <c r="F7" s="11">
        <f t="shared" si="2"/>
        <v>1863.28125</v>
      </c>
      <c r="G7" s="10">
        <f t="shared" si="3"/>
        <v>198.75</v>
      </c>
      <c r="H7" s="11">
        <f t="shared" si="18"/>
        <v>1873.8512692050995</v>
      </c>
      <c r="I7" s="27">
        <f t="shared" si="4"/>
        <v>624.61708973503312</v>
      </c>
      <c r="J7" s="11">
        <f t="shared" si="19"/>
        <v>1713.0238968952233</v>
      </c>
      <c r="K7" s="11">
        <f t="shared" si="20"/>
        <v>759.51807599784308</v>
      </c>
      <c r="L7" s="12">
        <f t="shared" si="24"/>
        <v>6.5465367070797722</v>
      </c>
      <c r="M7" s="11">
        <f t="shared" si="5"/>
        <v>650.72574868372931</v>
      </c>
      <c r="N7" s="11">
        <f t="shared" si="6"/>
        <v>594.87579197954756</v>
      </c>
      <c r="O7" s="11">
        <f t="shared" si="7"/>
        <v>-263.75517457806615</v>
      </c>
      <c r="P7" s="11">
        <f t="shared" si="21"/>
        <v>1449.2687223171572</v>
      </c>
      <c r="Q7" s="11">
        <f t="shared" si="8"/>
        <v>1354.3938679773905</v>
      </c>
      <c r="R7" s="13">
        <f t="shared" si="9"/>
        <v>0.91417281886085855</v>
      </c>
      <c r="S7" s="13">
        <f t="shared" si="10"/>
        <v>0.40532463193839063</v>
      </c>
      <c r="T7" s="13">
        <f t="shared" si="11"/>
        <v>0.75355405010279419</v>
      </c>
      <c r="U7" s="12">
        <f t="shared" si="12"/>
        <v>1.7041172186275959</v>
      </c>
      <c r="V7" s="12">
        <f t="shared" si="13"/>
        <v>0.26030820491461892</v>
      </c>
      <c r="W7" s="11">
        <f t="shared" si="14"/>
        <v>363.88036385623468</v>
      </c>
      <c r="X7" s="11">
        <f t="shared" si="22"/>
        <v>1418.7680657888761</v>
      </c>
      <c r="Y7" s="12">
        <f t="shared" si="23"/>
        <v>0.97895445057317232</v>
      </c>
      <c r="Z7" s="10" t="str">
        <f t="shared" si="15"/>
        <v>Nej</v>
      </c>
      <c r="AA7" s="10" t="str">
        <f t="shared" si="16"/>
        <v>Ja</v>
      </c>
    </row>
    <row r="8" spans="1:27" x14ac:dyDescent="0.25">
      <c r="A8" s="10">
        <v>2</v>
      </c>
      <c r="B8" s="12">
        <f t="shared" si="0"/>
        <v>1.8577777777777778</v>
      </c>
      <c r="C8" s="12">
        <f t="shared" si="1"/>
        <v>8.0944484822720035</v>
      </c>
      <c r="D8" s="12">
        <f t="shared" ref="D8:D19" si="25">ABS(C8-$B$31)</f>
        <v>21.905551517727996</v>
      </c>
      <c r="E8" s="12">
        <f t="shared" si="17"/>
        <v>68.094448482272</v>
      </c>
      <c r="F8" s="11">
        <f t="shared" si="2"/>
        <v>1863.28125</v>
      </c>
      <c r="G8" s="10">
        <f t="shared" si="3"/>
        <v>265</v>
      </c>
      <c r="H8" s="11">
        <f t="shared" si="18"/>
        <v>1882.0313537774982</v>
      </c>
      <c r="I8" s="27">
        <f t="shared" si="4"/>
        <v>627.34378459249945</v>
      </c>
      <c r="J8" s="11">
        <f t="shared" si="19"/>
        <v>1746.1488968952237</v>
      </c>
      <c r="K8" s="11">
        <f t="shared" si="20"/>
        <v>702.14389299712377</v>
      </c>
      <c r="L8" s="12">
        <f t="shared" si="24"/>
        <v>6.5465367070797722</v>
      </c>
      <c r="M8" s="11">
        <f t="shared" si="5"/>
        <v>650.72574868372931</v>
      </c>
      <c r="N8" s="11">
        <f t="shared" si="6"/>
        <v>603.74342115224215</v>
      </c>
      <c r="O8" s="11">
        <f t="shared" si="7"/>
        <v>-242.77125327226551</v>
      </c>
      <c r="P8" s="11">
        <f t="shared" si="21"/>
        <v>1503.3776436229582</v>
      </c>
      <c r="Q8" s="11">
        <f t="shared" si="8"/>
        <v>1305.8873141493659</v>
      </c>
      <c r="R8" s="13">
        <f t="shared" si="9"/>
        <v>0.92780010991339779</v>
      </c>
      <c r="S8" s="13">
        <f t="shared" si="10"/>
        <v>0.37307768097902488</v>
      </c>
      <c r="T8" s="13">
        <f t="shared" si="11"/>
        <v>0.75355405010279419</v>
      </c>
      <c r="U8" s="12">
        <f t="shared" si="12"/>
        <v>1.7041172186275959</v>
      </c>
      <c r="V8" s="12">
        <f t="shared" si="13"/>
        <v>0.26030820491461892</v>
      </c>
      <c r="W8" s="11">
        <f t="shared" si="14"/>
        <v>363.88036385623468</v>
      </c>
      <c r="X8" s="11">
        <f t="shared" si="22"/>
        <v>1374.2183746479545</v>
      </c>
      <c r="Y8" s="12">
        <f t="shared" si="23"/>
        <v>0.91408727572684567</v>
      </c>
      <c r="Z8" s="35" t="str">
        <f t="shared" si="15"/>
        <v>Nej</v>
      </c>
      <c r="AA8" s="10" t="str">
        <f t="shared" si="16"/>
        <v>Ja</v>
      </c>
    </row>
    <row r="9" spans="1:27" x14ac:dyDescent="0.25">
      <c r="A9" s="15">
        <v>2.5</v>
      </c>
      <c r="B9" s="12">
        <f t="shared" si="0"/>
        <v>1.7777777777777777</v>
      </c>
      <c r="C9" s="12">
        <f t="shared" si="1"/>
        <v>10.080597987542321</v>
      </c>
      <c r="D9" s="12">
        <f t="shared" si="25"/>
        <v>19.919402012457681</v>
      </c>
      <c r="E9" s="12">
        <f t="shared" si="17"/>
        <v>70.080597987542319</v>
      </c>
      <c r="F9" s="11">
        <f t="shared" si="2"/>
        <v>1863.28125</v>
      </c>
      <c r="G9" s="10">
        <f t="shared" si="3"/>
        <v>331.25</v>
      </c>
      <c r="H9" s="11">
        <f t="shared" si="18"/>
        <v>1892.4966523356291</v>
      </c>
      <c r="I9" s="27">
        <f t="shared" si="4"/>
        <v>630.83221744520972</v>
      </c>
      <c r="J9" s="11">
        <f t="shared" si="19"/>
        <v>1779.2738968952235</v>
      </c>
      <c r="K9" s="11">
        <f t="shared" si="20"/>
        <v>644.76970999640503</v>
      </c>
      <c r="L9" s="12">
        <f t="shared" si="24"/>
        <v>6.5465367070797722</v>
      </c>
      <c r="M9" s="11">
        <f t="shared" si="5"/>
        <v>650.72574868372931</v>
      </c>
      <c r="N9" s="11">
        <f t="shared" si="6"/>
        <v>611.79465614464141</v>
      </c>
      <c r="O9" s="11">
        <f t="shared" si="7"/>
        <v>-221.70092176817877</v>
      </c>
      <c r="P9" s="11">
        <f t="shared" si="21"/>
        <v>1557.5729751270446</v>
      </c>
      <c r="Q9" s="11">
        <f t="shared" si="8"/>
        <v>1256.5643661410463</v>
      </c>
      <c r="R9" s="13">
        <f t="shared" si="9"/>
        <v>0.94017281071505654</v>
      </c>
      <c r="S9" s="13">
        <f t="shared" si="10"/>
        <v>0.34069793951849847</v>
      </c>
      <c r="T9" s="13">
        <f t="shared" si="11"/>
        <v>0.75355405010279419</v>
      </c>
      <c r="U9" s="12">
        <f t="shared" si="12"/>
        <v>1.7041172186275959</v>
      </c>
      <c r="V9" s="12">
        <f t="shared" si="13"/>
        <v>0.26030820491461892</v>
      </c>
      <c r="W9" s="11">
        <f t="shared" si="14"/>
        <v>363.88036385623468</v>
      </c>
      <c r="X9" s="11">
        <f t="shared" si="22"/>
        <v>1328.6611534447327</v>
      </c>
      <c r="Y9" s="12">
        <f t="shared" si="23"/>
        <v>0.85303300369368529</v>
      </c>
      <c r="Z9" s="35" t="str">
        <f t="shared" si="15"/>
        <v>Nej</v>
      </c>
      <c r="AA9" s="10" t="str">
        <f t="shared" si="16"/>
        <v>Ja</v>
      </c>
    </row>
    <row r="10" spans="1:27" x14ac:dyDescent="0.25">
      <c r="A10" s="10">
        <v>3</v>
      </c>
      <c r="B10" s="12">
        <f t="shared" si="0"/>
        <v>1.68</v>
      </c>
      <c r="C10" s="12">
        <f t="shared" si="1"/>
        <v>12.042575142884985</v>
      </c>
      <c r="D10" s="12">
        <f t="shared" si="25"/>
        <v>17.957424857115015</v>
      </c>
      <c r="E10" s="12">
        <f t="shared" si="17"/>
        <v>72.042575142884985</v>
      </c>
      <c r="F10" s="11">
        <f t="shared" si="2"/>
        <v>1863.28125</v>
      </c>
      <c r="G10" s="10">
        <f t="shared" si="3"/>
        <v>397.5</v>
      </c>
      <c r="H10" s="11">
        <f t="shared" si="18"/>
        <v>1905.2095072725106</v>
      </c>
      <c r="I10" s="27">
        <f t="shared" si="4"/>
        <v>635.06983575750348</v>
      </c>
      <c r="J10" s="11">
        <f t="shared" si="19"/>
        <v>1812.3988968952235</v>
      </c>
      <c r="K10" s="11">
        <f t="shared" si="20"/>
        <v>587.39552699568571</v>
      </c>
      <c r="L10" s="12">
        <f t="shared" si="24"/>
        <v>6.5465367070797722</v>
      </c>
      <c r="M10" s="11">
        <f t="shared" si="5"/>
        <v>650.72574868372931</v>
      </c>
      <c r="N10" s="11">
        <f t="shared" si="6"/>
        <v>619.02621448918615</v>
      </c>
      <c r="O10" s="11">
        <f t="shared" si="7"/>
        <v>-200.62538666676343</v>
      </c>
      <c r="P10" s="11">
        <f t="shared" si="21"/>
        <v>1611.7735102284601</v>
      </c>
      <c r="Q10" s="11">
        <f t="shared" si="8"/>
        <v>1206.4217414848717</v>
      </c>
      <c r="R10" s="13">
        <f t="shared" si="9"/>
        <v>0.95128587694790889</v>
      </c>
      <c r="S10" s="13">
        <f t="shared" si="10"/>
        <v>0.30831020145212196</v>
      </c>
      <c r="T10" s="13">
        <f t="shared" si="11"/>
        <v>0.75355405010279419</v>
      </c>
      <c r="U10" s="12">
        <f t="shared" si="12"/>
        <v>1.7041172186275959</v>
      </c>
      <c r="V10" s="12">
        <f t="shared" si="13"/>
        <v>0.26030820491461892</v>
      </c>
      <c r="W10" s="11">
        <f t="shared" si="14"/>
        <v>363.88036385623468</v>
      </c>
      <c r="X10" s="11">
        <f t="shared" si="22"/>
        <v>1282.1379555407791</v>
      </c>
      <c r="Y10" s="12">
        <f t="shared" si="23"/>
        <v>0.79548270734331838</v>
      </c>
      <c r="Z10" s="35" t="str">
        <f t="shared" si="15"/>
        <v>Nej</v>
      </c>
      <c r="AA10" s="10" t="str">
        <f t="shared" si="16"/>
        <v>Ja</v>
      </c>
    </row>
    <row r="11" spans="1:27" x14ac:dyDescent="0.25">
      <c r="A11" s="10">
        <v>3.5</v>
      </c>
      <c r="B11" s="12">
        <f t="shared" si="0"/>
        <v>1.5644444444444443</v>
      </c>
      <c r="C11" s="12">
        <f t="shared" si="1"/>
        <v>13.97631066602688</v>
      </c>
      <c r="D11" s="12">
        <f t="shared" si="25"/>
        <v>16.02368933397312</v>
      </c>
      <c r="E11" s="12">
        <f t="shared" si="17"/>
        <v>73.976310666026876</v>
      </c>
      <c r="F11" s="11">
        <f t="shared" si="2"/>
        <v>1863.28125</v>
      </c>
      <c r="G11" s="10">
        <f t="shared" si="3"/>
        <v>463.75</v>
      </c>
      <c r="H11" s="11">
        <f t="shared" si="18"/>
        <v>1920.1252769289722</v>
      </c>
      <c r="I11" s="27">
        <f t="shared" si="4"/>
        <v>640.0417589763241</v>
      </c>
      <c r="J11" s="11">
        <f t="shared" si="19"/>
        <v>1845.5238968952233</v>
      </c>
      <c r="K11" s="11">
        <f t="shared" si="20"/>
        <v>530.02134399496651</v>
      </c>
      <c r="L11" s="12">
        <f t="shared" si="24"/>
        <v>6.5465367070797722</v>
      </c>
      <c r="M11" s="11">
        <f t="shared" si="5"/>
        <v>650.72574868372931</v>
      </c>
      <c r="N11" s="11">
        <f t="shared" si="6"/>
        <v>625.44352389423909</v>
      </c>
      <c r="O11" s="11">
        <f t="shared" si="7"/>
        <v>-179.62293399996696</v>
      </c>
      <c r="P11" s="11">
        <f t="shared" si="21"/>
        <v>1665.9009628952563</v>
      </c>
      <c r="Q11" s="11">
        <f t="shared" si="8"/>
        <v>1155.4648678892056</v>
      </c>
      <c r="R11" s="13">
        <f t="shared" si="9"/>
        <v>0.96114764961947408</v>
      </c>
      <c r="S11" s="13">
        <f t="shared" si="10"/>
        <v>0.27603477250332176</v>
      </c>
      <c r="T11" s="13">
        <f t="shared" si="11"/>
        <v>0.75355405010279419</v>
      </c>
      <c r="U11" s="12">
        <f t="shared" si="12"/>
        <v>1.7041172186275959</v>
      </c>
      <c r="V11" s="12">
        <f t="shared" si="13"/>
        <v>0.26030820491461892</v>
      </c>
      <c r="W11" s="11">
        <f t="shared" si="14"/>
        <v>363.88036385623468</v>
      </c>
      <c r="X11" s="11">
        <f t="shared" si="22"/>
        <v>1234.698935031766</v>
      </c>
      <c r="Y11" s="12">
        <f t="shared" si="23"/>
        <v>0.74115986636199449</v>
      </c>
      <c r="Z11" s="35" t="str">
        <f t="shared" si="15"/>
        <v>Nej</v>
      </c>
      <c r="AA11" s="10" t="str">
        <f t="shared" si="16"/>
        <v>Ja</v>
      </c>
    </row>
    <row r="12" spans="1:27" x14ac:dyDescent="0.25">
      <c r="A12" s="15">
        <v>4</v>
      </c>
      <c r="B12" s="12">
        <f t="shared" si="0"/>
        <v>1.431111111111111</v>
      </c>
      <c r="C12" s="12">
        <f t="shared" si="1"/>
        <v>15.878107876058362</v>
      </c>
      <c r="D12" s="12">
        <f t="shared" si="25"/>
        <v>14.121892123941638</v>
      </c>
      <c r="E12" s="12">
        <f t="shared" si="17"/>
        <v>75.878107876058365</v>
      </c>
      <c r="F12" s="11">
        <f t="shared" si="2"/>
        <v>1863.28125</v>
      </c>
      <c r="G12" s="10">
        <f t="shared" si="3"/>
        <v>530</v>
      </c>
      <c r="H12" s="11">
        <f t="shared" si="18"/>
        <v>1937.1930767483045</v>
      </c>
      <c r="I12" s="27">
        <f t="shared" si="4"/>
        <v>645.73102558276821</v>
      </c>
      <c r="J12" s="11">
        <f t="shared" si="19"/>
        <v>1878.6488968952235</v>
      </c>
      <c r="K12" s="11">
        <f t="shared" si="20"/>
        <v>472.64716099424754</v>
      </c>
      <c r="L12" s="12">
        <f t="shared" si="24"/>
        <v>6.5465367070797722</v>
      </c>
      <c r="M12" s="11">
        <f t="shared" si="5"/>
        <v>650.72574868372931</v>
      </c>
      <c r="N12" s="11">
        <f t="shared" si="6"/>
        <v>631.06007584851682</v>
      </c>
      <c r="O12" s="11">
        <f t="shared" si="7"/>
        <v>-158.76769403774924</v>
      </c>
      <c r="P12" s="11">
        <f t="shared" si="21"/>
        <v>1719.8812028574744</v>
      </c>
      <c r="Q12" s="11">
        <f t="shared" si="8"/>
        <v>1103.7072368427644</v>
      </c>
      <c r="R12" s="13">
        <f t="shared" si="9"/>
        <v>0.96977886171710315</v>
      </c>
      <c r="S12" s="13">
        <f t="shared" si="10"/>
        <v>0.24398557204613508</v>
      </c>
      <c r="T12" s="13">
        <f t="shared" si="11"/>
        <v>0.75355405010279419</v>
      </c>
      <c r="U12" s="12">
        <f t="shared" si="12"/>
        <v>1.7041172186275959</v>
      </c>
      <c r="V12" s="12">
        <f t="shared" si="13"/>
        <v>0.26030820491461892</v>
      </c>
      <c r="W12" s="11">
        <f t="shared" si="14"/>
        <v>363.88036385623468</v>
      </c>
      <c r="X12" s="11">
        <f t="shared" si="22"/>
        <v>1186.4013965650847</v>
      </c>
      <c r="Y12" s="12">
        <f t="shared" si="23"/>
        <v>0.68981589809456223</v>
      </c>
      <c r="Z12" s="35" t="str">
        <f t="shared" si="15"/>
        <v>Nej</v>
      </c>
      <c r="AA12" s="10" t="str">
        <f t="shared" si="16"/>
        <v>Ja</v>
      </c>
    </row>
    <row r="13" spans="1:27" x14ac:dyDescent="0.25">
      <c r="A13" s="10">
        <v>4.5</v>
      </c>
      <c r="B13" s="12">
        <f t="shared" si="0"/>
        <v>1.28</v>
      </c>
      <c r="C13" s="12">
        <f t="shared" si="1"/>
        <v>17.744671625056935</v>
      </c>
      <c r="D13" s="12">
        <f t="shared" si="25"/>
        <v>12.255328374943065</v>
      </c>
      <c r="E13" s="12">
        <f t="shared" si="17"/>
        <v>77.744671625056938</v>
      </c>
      <c r="F13" s="11">
        <f t="shared" si="2"/>
        <v>1863.28125</v>
      </c>
      <c r="G13" s="10">
        <f t="shared" si="3"/>
        <v>596.25</v>
      </c>
      <c r="H13" s="11">
        <f t="shared" si="18"/>
        <v>1956.3565828093717</v>
      </c>
      <c r="I13" s="27">
        <f t="shared" si="4"/>
        <v>652.11886093645728</v>
      </c>
      <c r="J13" s="11">
        <f t="shared" si="19"/>
        <v>1911.7738968952235</v>
      </c>
      <c r="K13" s="11">
        <f t="shared" si="20"/>
        <v>415.27297799352829</v>
      </c>
      <c r="L13" s="12">
        <f t="shared" si="24"/>
        <v>6.5465367070797722</v>
      </c>
      <c r="M13" s="11">
        <f t="shared" si="5"/>
        <v>650.72574868372931</v>
      </c>
      <c r="N13" s="11">
        <f t="shared" si="6"/>
        <v>635.89660049840461</v>
      </c>
      <c r="O13" s="11">
        <f t="shared" si="7"/>
        <v>-138.12861207791985</v>
      </c>
      <c r="P13" s="11">
        <f t="shared" si="21"/>
        <v>1773.6452848173037</v>
      </c>
      <c r="Q13" s="11">
        <f t="shared" si="8"/>
        <v>1051.169578491933</v>
      </c>
      <c r="R13" s="13">
        <f t="shared" si="9"/>
        <v>0.97721137020423621</v>
      </c>
      <c r="S13" s="13">
        <f t="shared" si="10"/>
        <v>0.21226855147091181</v>
      </c>
      <c r="T13" s="13">
        <f t="shared" si="11"/>
        <v>0.75355405010279419</v>
      </c>
      <c r="U13" s="12">
        <f t="shared" si="12"/>
        <v>1.7041172186275959</v>
      </c>
      <c r="V13" s="12">
        <f t="shared" si="13"/>
        <v>0.26030820491461892</v>
      </c>
      <c r="W13" s="11">
        <f t="shared" si="14"/>
        <v>363.88036385623468</v>
      </c>
      <c r="X13" s="11">
        <f t="shared" si="22"/>
        <v>1137.3082503485475</v>
      </c>
      <c r="Y13" s="12">
        <f t="shared" si="23"/>
        <v>0.64122643917816813</v>
      </c>
      <c r="Z13" s="35" t="str">
        <f t="shared" si="15"/>
        <v>Nej</v>
      </c>
      <c r="AA13" s="10" t="str">
        <f t="shared" si="16"/>
        <v>Ja</v>
      </c>
    </row>
    <row r="14" spans="1:27" x14ac:dyDescent="0.25">
      <c r="A14" s="10">
        <v>5</v>
      </c>
      <c r="B14" s="12">
        <f t="shared" ref="B14:B16" si="26">($B$23*$B$24^2)/(8*$B$27)*(1-((2*A14)/$B$24)^2)</f>
        <v>1.1111111111111112</v>
      </c>
      <c r="C14" s="12">
        <f t="shared" ref="C14:C16" si="27">ATAN((8*$B$25*A14)/$B$24^2)*180/PI()</f>
        <v>19.573125830410195</v>
      </c>
      <c r="D14" s="12">
        <f t="shared" si="25"/>
        <v>10.426874169589805</v>
      </c>
      <c r="E14" s="12">
        <f t="shared" si="17"/>
        <v>79.573125830410191</v>
      </c>
      <c r="F14" s="11">
        <f t="shared" si="2"/>
        <v>1863.28125</v>
      </c>
      <c r="G14" s="10">
        <f t="shared" ref="G14:G16" si="28">($B$23*A14)</f>
        <v>662.5</v>
      </c>
      <c r="H14" s="11">
        <f t="shared" si="18"/>
        <v>1977.5548706929885</v>
      </c>
      <c r="I14" s="27">
        <f t="shared" ref="I14:I16" si="29">H14/$H$23</f>
        <v>659.1849568976628</v>
      </c>
      <c r="J14" s="11">
        <f t="shared" si="19"/>
        <v>1944.8988968952235</v>
      </c>
      <c r="K14" s="11">
        <f t="shared" si="20"/>
        <v>357.89879499280988</v>
      </c>
      <c r="L14" s="12">
        <f t="shared" si="24"/>
        <v>6.5465367070797722</v>
      </c>
      <c r="M14" s="11">
        <f t="shared" ref="M14:M16" si="30">$G$32*L14*1000</f>
        <v>650.72574868372931</v>
      </c>
      <c r="N14" s="11">
        <f t="shared" ref="N14:N16" si="31">COS(D14*PI()/180)*$G$32*1000*L14</f>
        <v>639.98011359998566</v>
      </c>
      <c r="O14" s="11">
        <f t="shared" ref="O14:O16" si="32">-SIN(D14*PI()/180)*$G$32*1000*L14</f>
        <v>-117.76864691652683</v>
      </c>
      <c r="P14" s="11">
        <f t="shared" si="21"/>
        <v>1827.1302499786966</v>
      </c>
      <c r="Q14" s="11">
        <f t="shared" si="8"/>
        <v>997.8789085927956</v>
      </c>
      <c r="R14" s="13">
        <f t="shared" si="9"/>
        <v>0.98348669142802525</v>
      </c>
      <c r="S14" s="13">
        <f t="shared" si="10"/>
        <v>0.18098046243712695</v>
      </c>
      <c r="T14" s="13">
        <f t="shared" si="11"/>
        <v>0.75355405010279419</v>
      </c>
      <c r="U14" s="12">
        <f t="shared" ref="U14:U16" si="33">L14/$G$25^2</f>
        <v>1.7041172186275959</v>
      </c>
      <c r="V14" s="12">
        <f t="shared" si="13"/>
        <v>0.26030820491461892</v>
      </c>
      <c r="W14" s="11">
        <f t="shared" ref="W14:W16" si="34">$G$28*U14*$G$27/1000</f>
        <v>363.88036385623468</v>
      </c>
      <c r="X14" s="11">
        <f t="shared" si="22"/>
        <v>1087.4864441722289</v>
      </c>
      <c r="Y14" s="12">
        <f t="shared" si="23"/>
        <v>0.59518824352281863</v>
      </c>
      <c r="Z14" s="35" t="str">
        <f t="shared" ref="Z14:Z16" si="35">IF(D14&lt;$M$24, "Nej", "Ja")</f>
        <v>Nej</v>
      </c>
      <c r="AA14" s="10" t="str">
        <f t="shared" ref="AA14:AA16" si="36">IF(AND(Y14&lt;1,D14&gt;$M$24), "Nej", "Ja")</f>
        <v>Ja</v>
      </c>
    </row>
    <row r="15" spans="1:27" x14ac:dyDescent="0.25">
      <c r="A15" s="15">
        <v>5.5</v>
      </c>
      <c r="B15" s="12">
        <f t="shared" si="26"/>
        <v>0.92444444444444462</v>
      </c>
      <c r="C15" s="12">
        <f t="shared" si="27"/>
        <v>21.361020161252576</v>
      </c>
      <c r="D15" s="12">
        <f t="shared" si="25"/>
        <v>8.6389798387474244</v>
      </c>
      <c r="E15" s="12">
        <f t="shared" si="17"/>
        <v>81.361020161252583</v>
      </c>
      <c r="F15" s="11">
        <f t="shared" si="2"/>
        <v>1863.28125</v>
      </c>
      <c r="G15" s="10">
        <f t="shared" si="28"/>
        <v>728.75</v>
      </c>
      <c r="H15" s="11">
        <f t="shared" si="18"/>
        <v>2000.723263997688</v>
      </c>
      <c r="I15" s="27">
        <f t="shared" si="29"/>
        <v>666.90775466589605</v>
      </c>
      <c r="J15" s="11">
        <f t="shared" si="19"/>
        <v>1978.0238968952237</v>
      </c>
      <c r="K15" s="11">
        <f t="shared" si="20"/>
        <v>300.52461199208994</v>
      </c>
      <c r="L15" s="12">
        <f t="shared" si="24"/>
        <v>6.5465367070797722</v>
      </c>
      <c r="M15" s="11">
        <f t="shared" si="30"/>
        <v>650.72574868372931</v>
      </c>
      <c r="N15" s="11">
        <f t="shared" si="31"/>
        <v>643.34288723647273</v>
      </c>
      <c r="O15" s="11">
        <f t="shared" si="32"/>
        <v>-97.744204136302841</v>
      </c>
      <c r="P15" s="11">
        <f t="shared" si="21"/>
        <v>1880.2796927589209</v>
      </c>
      <c r="Q15" s="11">
        <f t="shared" si="8"/>
        <v>943.86749922856268</v>
      </c>
      <c r="R15" s="13">
        <f t="shared" si="9"/>
        <v>0.98865441937376775</v>
      </c>
      <c r="S15" s="13">
        <f t="shared" si="10"/>
        <v>0.15020798598183202</v>
      </c>
      <c r="T15" s="13">
        <f t="shared" si="11"/>
        <v>0.75355405010279419</v>
      </c>
      <c r="U15" s="12">
        <f t="shared" si="33"/>
        <v>1.7041172186275959</v>
      </c>
      <c r="V15" s="12">
        <f t="shared" si="13"/>
        <v>0.26030820491461892</v>
      </c>
      <c r="W15" s="11">
        <f t="shared" si="34"/>
        <v>363.88036385623468</v>
      </c>
      <c r="X15" s="11">
        <f t="shared" si="22"/>
        <v>1037.0054371678743</v>
      </c>
      <c r="Y15" s="12">
        <f t="shared" si="23"/>
        <v>0.55151658615547972</v>
      </c>
      <c r="Z15" s="35" t="str">
        <f t="shared" si="35"/>
        <v>Nej</v>
      </c>
      <c r="AA15" s="10" t="str">
        <f t="shared" si="36"/>
        <v>Ja</v>
      </c>
    </row>
    <row r="16" spans="1:27" x14ac:dyDescent="0.25">
      <c r="A16" s="10">
        <v>6</v>
      </c>
      <c r="B16" s="12">
        <f t="shared" si="26"/>
        <v>0.71999999999999975</v>
      </c>
      <c r="C16" s="12">
        <f t="shared" si="27"/>
        <v>23.106326858271576</v>
      </c>
      <c r="D16" s="12">
        <f t="shared" si="25"/>
        <v>6.8936731417284243</v>
      </c>
      <c r="E16" s="12">
        <f t="shared" si="17"/>
        <v>83.106326858271572</v>
      </c>
      <c r="F16" s="11">
        <f t="shared" si="2"/>
        <v>1863.28125</v>
      </c>
      <c r="G16" s="10">
        <f t="shared" si="28"/>
        <v>795</v>
      </c>
      <c r="H16" s="11">
        <f t="shared" si="18"/>
        <v>2025.7941693571838</v>
      </c>
      <c r="I16" s="27">
        <f t="shared" si="29"/>
        <v>675.26472311906127</v>
      </c>
      <c r="J16" s="11">
        <f t="shared" si="19"/>
        <v>2011.1488968952235</v>
      </c>
      <c r="K16" s="11">
        <f t="shared" si="20"/>
        <v>243.1504289913714</v>
      </c>
      <c r="L16" s="12">
        <f t="shared" si="24"/>
        <v>6.5465367070797722</v>
      </c>
      <c r="M16" s="11">
        <f t="shared" si="30"/>
        <v>650.72574868372931</v>
      </c>
      <c r="N16" s="11">
        <f t="shared" si="31"/>
        <v>646.02139321087782</v>
      </c>
      <c r="O16" s="11">
        <f t="shared" si="32"/>
        <v>-78.104798276908355</v>
      </c>
      <c r="P16" s="11">
        <f t="shared" si="21"/>
        <v>1933.0440986183153</v>
      </c>
      <c r="Q16" s="11">
        <f t="shared" si="8"/>
        <v>889.17182220224925</v>
      </c>
      <c r="R16" s="13">
        <f t="shared" si="9"/>
        <v>0.99277060192812805</v>
      </c>
      <c r="S16" s="13">
        <f t="shared" si="10"/>
        <v>0.1200272133612305</v>
      </c>
      <c r="T16" s="13">
        <f t="shared" si="11"/>
        <v>0.75355405010279419</v>
      </c>
      <c r="U16" s="12">
        <f t="shared" si="33"/>
        <v>1.7041172186275959</v>
      </c>
      <c r="V16" s="12">
        <f t="shared" si="13"/>
        <v>0.26030820491461892</v>
      </c>
      <c r="W16" s="11">
        <f t="shared" si="34"/>
        <v>363.88036385623468</v>
      </c>
      <c r="X16" s="11">
        <f t="shared" si="22"/>
        <v>985.93576945227505</v>
      </c>
      <c r="Y16" s="12">
        <f t="shared" si="23"/>
        <v>0.51004308187122771</v>
      </c>
      <c r="Z16" s="35" t="str">
        <f t="shared" si="35"/>
        <v>Nej</v>
      </c>
      <c r="AA16" s="10" t="str">
        <f t="shared" si="36"/>
        <v>Ja</v>
      </c>
    </row>
    <row r="17" spans="1:28" x14ac:dyDescent="0.25">
      <c r="A17" s="10">
        <v>6.5</v>
      </c>
      <c r="B17" s="12">
        <f>($B$23*$B$24^2)/(8*$B$27)*(1-((2*A17)/$B$24)^2)</f>
        <v>0.49777777777777765</v>
      </c>
      <c r="C17" s="12">
        <f>ATAN((8*$B$25*A17)/$B$24^2)*180/PI()</f>
        <v>24.807428973141768</v>
      </c>
      <c r="D17" s="12">
        <f t="shared" si="25"/>
        <v>5.1925710268582321</v>
      </c>
      <c r="E17" s="12">
        <f t="shared" si="17"/>
        <v>84.807428973141768</v>
      </c>
      <c r="F17" s="11">
        <f t="shared" si="2"/>
        <v>1863.28125</v>
      </c>
      <c r="G17" s="10">
        <f>($B$23*A17)</f>
        <v>861.25</v>
      </c>
      <c r="H17" s="11">
        <f t="shared" si="18"/>
        <v>2052.6978781841135</v>
      </c>
      <c r="I17" s="27">
        <f>H17/$H$23</f>
        <v>684.23262606137121</v>
      </c>
      <c r="J17" s="11">
        <f t="shared" si="19"/>
        <v>2044.2738968952235</v>
      </c>
      <c r="K17" s="11">
        <f t="shared" si="20"/>
        <v>185.7762459906526</v>
      </c>
      <c r="L17" s="12">
        <f t="shared" si="24"/>
        <v>6.5465367070797722</v>
      </c>
      <c r="M17" s="11">
        <f>$G$32*L17*1000</f>
        <v>650.72574868372931</v>
      </c>
      <c r="N17" s="11">
        <f>COS(D17*PI()/180)*$G$32*1000*L17</f>
        <v>648.05526239864582</v>
      </c>
      <c r="O17" s="11">
        <f>-SIN(D17*PI()/180)*$G$32*1000*L17</f>
        <v>-58.892927227489857</v>
      </c>
      <c r="P17" s="11">
        <f t="shared" si="21"/>
        <v>1985.3809696677336</v>
      </c>
      <c r="Q17" s="11">
        <f t="shared" si="8"/>
        <v>833.83150838929839</v>
      </c>
      <c r="R17" s="13">
        <f t="shared" si="9"/>
        <v>0.99589614166876705</v>
      </c>
      <c r="S17" s="13">
        <f t="shared" si="10"/>
        <v>9.0503453023976721E-2</v>
      </c>
      <c r="T17" s="13">
        <f t="shared" si="11"/>
        <v>0.75355405010279419</v>
      </c>
      <c r="U17" s="12">
        <f>L17/$G$25^2</f>
        <v>1.7041172186275959</v>
      </c>
      <c r="V17" s="12">
        <f t="shared" si="13"/>
        <v>0.26030820491461892</v>
      </c>
      <c r="W17" s="11">
        <f>$G$28*U17*$G$27/1000</f>
        <v>363.88036385623468</v>
      </c>
      <c r="X17" s="11">
        <f t="shared" si="22"/>
        <v>934.34776919547858</v>
      </c>
      <c r="Y17" s="12">
        <f t="shared" si="23"/>
        <v>0.47061384362510927</v>
      </c>
      <c r="Z17" s="35" t="str">
        <f>IF(D17&lt;$M$24, "Nej", "Ja")</f>
        <v>Nej</v>
      </c>
      <c r="AA17" s="10" t="str">
        <f>IF(AND(Y17&lt;1,D17&gt;$M$24), "Nej", "Ja")</f>
        <v>Ja</v>
      </c>
    </row>
    <row r="18" spans="1:28" x14ac:dyDescent="0.25">
      <c r="A18" s="10">
        <v>7</v>
      </c>
      <c r="B18" s="12">
        <f t="shared" ref="B18:B19" si="37">($B$23*$B$24^2)/(8*$B$27)*(1-((2*A18)/$B$24)^2)</f>
        <v>0.25777777777777766</v>
      </c>
      <c r="C18" s="12">
        <f t="shared" ref="C18:C19" si="38">ATAN((8*$B$25*A18)/$B$24^2)*180/PI()</f>
        <v>26.463101499062404</v>
      </c>
      <c r="D18" s="12">
        <f t="shared" si="25"/>
        <v>3.5368985009375962</v>
      </c>
      <c r="E18" s="12">
        <f t="shared" si="17"/>
        <v>86.463101499062404</v>
      </c>
      <c r="F18" s="11">
        <f t="shared" si="2"/>
        <v>1863.28125</v>
      </c>
      <c r="G18" s="10">
        <f t="shared" ref="G18:G19" si="39">($B$23*A18)</f>
        <v>927.5</v>
      </c>
      <c r="H18" s="11">
        <f t="shared" si="18"/>
        <v>2081.3633192216976</v>
      </c>
      <c r="I18" s="27">
        <f t="shared" ref="I18:I19" si="40">H18/$H$23</f>
        <v>693.78777307389919</v>
      </c>
      <c r="J18" s="11">
        <f t="shared" si="19"/>
        <v>2077.3988968952235</v>
      </c>
      <c r="K18" s="11">
        <f t="shared" si="20"/>
        <v>128.40206298993334</v>
      </c>
      <c r="L18" s="12">
        <f t="shared" si="24"/>
        <v>6.5465367070797722</v>
      </c>
      <c r="M18" s="11">
        <f t="shared" ref="M18:M19" si="41">$G$32*L18*1000</f>
        <v>650.72574868372931</v>
      </c>
      <c r="N18" s="11">
        <f t="shared" ref="N18:N19" si="42">COS(D18*PI()/180)*$G$32*1000*L18</f>
        <v>649.48629583920729</v>
      </c>
      <c r="O18" s="11">
        <f t="shared" ref="O18:O19" si="43">-SIN(D18*PI()/180)*$G$32*1000*L18</f>
        <v>-40.144134279691194</v>
      </c>
      <c r="P18" s="11">
        <f t="shared" si="21"/>
        <v>2037.2547626155324</v>
      </c>
      <c r="Q18" s="11">
        <f t="shared" si="8"/>
        <v>777.88835882914066</v>
      </c>
      <c r="R18" s="13">
        <f t="shared" si="9"/>
        <v>0.99809527616353089</v>
      </c>
      <c r="S18" s="13">
        <f t="shared" si="10"/>
        <v>6.1691325970877516E-2</v>
      </c>
      <c r="T18" s="13">
        <f t="shared" si="11"/>
        <v>0.75355405010279419</v>
      </c>
      <c r="U18" s="12">
        <f t="shared" ref="U18:U19" si="44">L18/$G$25^2</f>
        <v>1.7041172186275959</v>
      </c>
      <c r="V18" s="12">
        <f t="shared" si="13"/>
        <v>0.26030820491461892</v>
      </c>
      <c r="W18" s="11">
        <f t="shared" ref="W18:W19" si="45">$G$28*U18*$G$27/1000</f>
        <v>363.88036385623468</v>
      </c>
      <c r="X18" s="11">
        <f t="shared" si="22"/>
        <v>882.31042541703846</v>
      </c>
      <c r="Y18" s="12">
        <f t="shared" si="23"/>
        <v>0.43308791890332016</v>
      </c>
      <c r="Z18" s="35" t="str">
        <f t="shared" ref="Z18:Z19" si="46">IF(D18&lt;$M$24, "Nej", "Ja")</f>
        <v>Nej</v>
      </c>
      <c r="AA18" s="10" t="str">
        <f t="shared" ref="AA18:AA19" si="47">IF(AND(Y18&lt;1,D18&gt;$M$24), "Nej", "Ja")</f>
        <v>Ja</v>
      </c>
    </row>
    <row r="19" spans="1:28" ht="15.75" thickBot="1" x14ac:dyDescent="0.3">
      <c r="A19" s="36">
        <v>7.5</v>
      </c>
      <c r="B19" s="17">
        <f t="shared" si="37"/>
        <v>0</v>
      </c>
      <c r="C19" s="17">
        <f t="shared" si="38"/>
        <v>28.072486935852954</v>
      </c>
      <c r="D19" s="17">
        <f t="shared" si="25"/>
        <v>1.9275130641470462</v>
      </c>
      <c r="E19" s="17">
        <f t="shared" si="17"/>
        <v>88.07248693585295</v>
      </c>
      <c r="F19" s="18">
        <f t="shared" si="2"/>
        <v>1863.28125</v>
      </c>
      <c r="G19" s="16">
        <f t="shared" si="39"/>
        <v>993.75</v>
      </c>
      <c r="H19" s="18">
        <f t="shared" si="18"/>
        <v>2111.71875</v>
      </c>
      <c r="I19" s="37">
        <f t="shared" si="40"/>
        <v>703.90625</v>
      </c>
      <c r="J19" s="18">
        <f t="shared" si="19"/>
        <v>2110.5238968952235</v>
      </c>
      <c r="K19" s="18">
        <f t="shared" si="20"/>
        <v>71.027879989214497</v>
      </c>
      <c r="L19" s="17">
        <f>IF($H$23/TAN(D19*PI()/180)&gt;$M$23,$M$23,$H$23/TAN(D19*PI()/180))</f>
        <v>6.5465367070797722</v>
      </c>
      <c r="M19" s="18">
        <f t="shared" si="41"/>
        <v>650.72574868372931</v>
      </c>
      <c r="N19" s="18">
        <f t="shared" si="42"/>
        <v>650.35755491684029</v>
      </c>
      <c r="O19" s="18">
        <f t="shared" si="43"/>
        <v>-21.887228298465171</v>
      </c>
      <c r="P19" s="18">
        <f t="shared" si="21"/>
        <v>2088.6366685967582</v>
      </c>
      <c r="Q19" s="18">
        <f t="shared" si="8"/>
        <v>721.3854349060548</v>
      </c>
      <c r="R19" s="38">
        <f t="shared" si="9"/>
        <v>0.99943417980979876</v>
      </c>
      <c r="S19" s="38">
        <f t="shared" si="10"/>
        <v>3.3635104101440827E-2</v>
      </c>
      <c r="T19" s="38">
        <f t="shared" si="11"/>
        <v>0.75355405010279419</v>
      </c>
      <c r="U19" s="17">
        <f t="shared" si="44"/>
        <v>1.7041172186275959</v>
      </c>
      <c r="V19" s="17">
        <f t="shared" si="13"/>
        <v>0.26030820491461892</v>
      </c>
      <c r="W19" s="18">
        <f t="shared" si="45"/>
        <v>363.88036385623468</v>
      </c>
      <c r="X19" s="18">
        <f t="shared" si="22"/>
        <v>829.89044212520571</v>
      </c>
      <c r="Y19" s="17">
        <f t="shared" si="23"/>
        <v>0.39733595344888978</v>
      </c>
      <c r="Z19" s="39" t="str">
        <f t="shared" si="46"/>
        <v>Nej</v>
      </c>
      <c r="AA19" s="16" t="str">
        <f t="shared" si="47"/>
        <v>Ja</v>
      </c>
    </row>
    <row r="20" spans="1:28" x14ac:dyDescent="0.25">
      <c r="A20" t="s">
        <v>52</v>
      </c>
      <c r="G20" s="19"/>
      <c r="H20" s="20"/>
      <c r="I20" s="28"/>
      <c r="J20" s="45">
        <f>M24</f>
        <v>24.6199773286571</v>
      </c>
      <c r="K20" s="44" t="s">
        <v>54</v>
      </c>
      <c r="L20" s="30"/>
      <c r="M20" s="29"/>
      <c r="N20" s="29"/>
      <c r="O20" s="29"/>
      <c r="P20" s="29"/>
      <c r="Q20" s="29"/>
      <c r="R20" s="31"/>
      <c r="S20" s="31"/>
      <c r="T20" s="31"/>
      <c r="U20" s="30"/>
      <c r="V20" s="30"/>
      <c r="W20" s="29"/>
      <c r="X20" s="29"/>
      <c r="Y20" s="32"/>
    </row>
    <row r="21" spans="1:28" x14ac:dyDescent="0.25">
      <c r="A21" t="s">
        <v>55</v>
      </c>
      <c r="F21" s="40">
        <f>M23</f>
        <v>6.5465367070797722</v>
      </c>
      <c r="G21" s="25" t="s">
        <v>0</v>
      </c>
      <c r="H21" s="20"/>
      <c r="I21" s="41"/>
      <c r="J21" s="42"/>
      <c r="K21" s="20"/>
      <c r="L21" s="21"/>
      <c r="M21" s="20"/>
      <c r="N21" s="20"/>
      <c r="O21" s="20"/>
      <c r="P21" s="20"/>
      <c r="Q21" s="20"/>
      <c r="R21" s="22"/>
      <c r="S21" s="22"/>
      <c r="T21" s="22"/>
      <c r="U21" s="21"/>
      <c r="V21" s="21"/>
      <c r="W21" s="20"/>
      <c r="X21" s="20"/>
      <c r="Y21" s="22"/>
    </row>
    <row r="22" spans="1:28" x14ac:dyDescent="0.25">
      <c r="A22" s="19"/>
      <c r="B22" s="21"/>
      <c r="C22" s="21"/>
      <c r="D22" s="21"/>
      <c r="E22" s="21"/>
      <c r="F22" s="20"/>
      <c r="G22" s="19"/>
      <c r="H22" s="20"/>
      <c r="I22" s="41"/>
      <c r="J22" s="42"/>
      <c r="K22" s="20"/>
      <c r="L22" s="21"/>
      <c r="M22" s="20"/>
      <c r="N22" s="20"/>
      <c r="O22" s="20"/>
      <c r="P22" s="20"/>
      <c r="Q22" s="20"/>
      <c r="R22" s="22"/>
      <c r="S22" s="22"/>
      <c r="T22" s="22"/>
      <c r="U22" s="21"/>
      <c r="V22" s="21"/>
      <c r="W22" s="20"/>
      <c r="X22" s="20"/>
      <c r="Y22" s="22"/>
      <c r="AA22" s="23"/>
      <c r="AB22" s="23"/>
    </row>
    <row r="23" spans="1:28" ht="18" x14ac:dyDescent="0.35">
      <c r="A23" t="s">
        <v>29</v>
      </c>
      <c r="B23" s="1">
        <f>5*26.5</f>
        <v>132.5</v>
      </c>
      <c r="C23" t="s">
        <v>1</v>
      </c>
      <c r="D23" t="s">
        <v>30</v>
      </c>
      <c r="H23">
        <v>3</v>
      </c>
      <c r="I23" s="43"/>
      <c r="J23" s="43" t="s">
        <v>0</v>
      </c>
      <c r="L23" t="s">
        <v>31</v>
      </c>
      <c r="M23" s="40">
        <f>H23/TAN(M24*PI()/180)</f>
        <v>6.5465367070797722</v>
      </c>
      <c r="N23" t="s">
        <v>0</v>
      </c>
      <c r="O23" s="20"/>
      <c r="P23" s="20"/>
      <c r="Q23" s="20"/>
      <c r="R23" s="22"/>
      <c r="S23" s="22"/>
      <c r="T23" s="22"/>
      <c r="U23" s="21"/>
      <c r="V23" s="21"/>
      <c r="W23" s="20"/>
      <c r="X23" s="20"/>
      <c r="Y23" s="22"/>
      <c r="Z23" s="1"/>
      <c r="AA23" s="1"/>
    </row>
    <row r="24" spans="1:28" ht="18" x14ac:dyDescent="0.35">
      <c r="A24" t="s">
        <v>32</v>
      </c>
      <c r="B24">
        <v>15</v>
      </c>
      <c r="C24" t="s">
        <v>0</v>
      </c>
      <c r="I24" s="43"/>
      <c r="J24" s="43"/>
      <c r="L24" s="24" t="s">
        <v>51</v>
      </c>
      <c r="M24" s="1">
        <f>ACOS(G31/(G31+H23*0.5))*180/PI()</f>
        <v>24.6199773286571</v>
      </c>
      <c r="N24" s="24" t="s">
        <v>35</v>
      </c>
      <c r="O24" s="20"/>
      <c r="P24" s="20"/>
      <c r="Q24" s="20"/>
      <c r="R24" s="22"/>
      <c r="S24" s="22"/>
      <c r="T24" s="22"/>
      <c r="U24" s="21"/>
      <c r="V24" s="21"/>
      <c r="W24" s="20"/>
      <c r="X24" s="20"/>
      <c r="Y24" s="22"/>
    </row>
    <row r="25" spans="1:28" x14ac:dyDescent="0.25">
      <c r="A25" t="s">
        <v>33</v>
      </c>
      <c r="B25">
        <v>2</v>
      </c>
      <c r="C25" t="s">
        <v>0</v>
      </c>
      <c r="D25" t="s">
        <v>34</v>
      </c>
      <c r="G25">
        <v>1.96</v>
      </c>
      <c r="H25" t="s">
        <v>0</v>
      </c>
      <c r="I25" s="43"/>
      <c r="J25" s="43"/>
      <c r="L25" s="24"/>
      <c r="M25" s="1"/>
      <c r="N25" s="24"/>
    </row>
    <row r="27" spans="1:28" x14ac:dyDescent="0.25">
      <c r="A27" t="s">
        <v>36</v>
      </c>
      <c r="B27" s="1">
        <f>(B23*B24^2)/(8*B25)</f>
        <v>1863.28125</v>
      </c>
      <c r="C27" t="s">
        <v>37</v>
      </c>
      <c r="D27" t="s">
        <v>38</v>
      </c>
      <c r="G27">
        <v>435</v>
      </c>
      <c r="H27" t="s">
        <v>2</v>
      </c>
    </row>
    <row r="28" spans="1:28" x14ac:dyDescent="0.25">
      <c r="A28" t="s">
        <v>39</v>
      </c>
      <c r="B28" s="1">
        <f>B24*B23/2</f>
        <v>993.75</v>
      </c>
      <c r="C28" t="s">
        <v>37</v>
      </c>
      <c r="D28" s="24" t="s">
        <v>40</v>
      </c>
      <c r="G28" s="1">
        <f>25^2*PI()/4</f>
        <v>490.87385212340519</v>
      </c>
      <c r="H28" t="s">
        <v>41</v>
      </c>
    </row>
    <row r="29" spans="1:28" x14ac:dyDescent="0.25">
      <c r="A29" t="s">
        <v>42</v>
      </c>
      <c r="B29" s="1">
        <f>(B27^2+B28^2)^0.5</f>
        <v>2111.71875</v>
      </c>
      <c r="C29" t="s">
        <v>37</v>
      </c>
      <c r="D29" t="s">
        <v>43</v>
      </c>
      <c r="G29">
        <v>21.3</v>
      </c>
      <c r="H29" t="s">
        <v>2</v>
      </c>
    </row>
    <row r="30" spans="1:28" x14ac:dyDescent="0.25">
      <c r="D30" t="s">
        <v>44</v>
      </c>
      <c r="G30">
        <v>7.0000000000000007E-2</v>
      </c>
      <c r="H30" t="s">
        <v>3</v>
      </c>
    </row>
    <row r="31" spans="1:28" ht="17.25" x14ac:dyDescent="0.25">
      <c r="A31" t="s">
        <v>45</v>
      </c>
      <c r="B31">
        <v>30</v>
      </c>
      <c r="C31" t="s">
        <v>46</v>
      </c>
      <c r="D31" t="s">
        <v>47</v>
      </c>
      <c r="G31">
        <v>15</v>
      </c>
      <c r="H31" t="s">
        <v>0</v>
      </c>
    </row>
    <row r="32" spans="1:28" ht="18.75" x14ac:dyDescent="0.35">
      <c r="A32" s="24" t="s">
        <v>48</v>
      </c>
      <c r="B32">
        <v>37</v>
      </c>
      <c r="C32" t="s">
        <v>46</v>
      </c>
      <c r="D32" s="25" t="s">
        <v>49</v>
      </c>
      <c r="G32" s="2">
        <f>(G29*G30)/G31</f>
        <v>9.9400000000000002E-2</v>
      </c>
      <c r="H32" t="s">
        <v>2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32"/>
  <sheetViews>
    <sheetView zoomScaleNormal="100" workbookViewId="0">
      <selection activeCell="J29" sqref="J29"/>
    </sheetView>
  </sheetViews>
  <sheetFormatPr defaultRowHeight="15" x14ac:dyDescent="0.25"/>
  <cols>
    <col min="3" max="3" width="15.42578125" customWidth="1"/>
    <col min="6" max="6" width="9.42578125" customWidth="1"/>
    <col min="9" max="9" width="9.140625" customWidth="1"/>
    <col min="18" max="20" width="0" hidden="1" customWidth="1"/>
    <col min="22" max="22" width="0" hidden="1" customWidth="1"/>
    <col min="25" max="25" width="15.28515625" customWidth="1"/>
  </cols>
  <sheetData>
    <row r="1" spans="1:27" ht="18.75" x14ac:dyDescent="0.3">
      <c r="A1" s="46" t="s">
        <v>59</v>
      </c>
    </row>
    <row r="2" spans="1:27" ht="24" thickBot="1" x14ac:dyDescent="0.4">
      <c r="A2" s="3"/>
    </row>
    <row r="3" spans="1:27" ht="49.5" thickBot="1" x14ac:dyDescent="0.4">
      <c r="A3" s="4" t="s">
        <v>4</v>
      </c>
      <c r="B3" s="4" t="s">
        <v>5</v>
      </c>
      <c r="C3" s="5" t="s">
        <v>53</v>
      </c>
      <c r="D3" s="6" t="s">
        <v>6</v>
      </c>
      <c r="E3" s="6" t="s">
        <v>50</v>
      </c>
      <c r="F3" s="4" t="s">
        <v>7</v>
      </c>
      <c r="G3" s="4" t="s">
        <v>8</v>
      </c>
      <c r="H3" s="4" t="s">
        <v>9</v>
      </c>
      <c r="I3" s="26" t="s">
        <v>10</v>
      </c>
      <c r="J3" s="4" t="s">
        <v>11</v>
      </c>
      <c r="K3" s="4" t="s">
        <v>12</v>
      </c>
      <c r="L3" s="5" t="s">
        <v>13</v>
      </c>
      <c r="M3" s="5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4" t="s">
        <v>26</v>
      </c>
      <c r="Z3" s="5" t="s">
        <v>56</v>
      </c>
      <c r="AA3" s="5" t="s">
        <v>27</v>
      </c>
    </row>
    <row r="4" spans="1:27" x14ac:dyDescent="0.25">
      <c r="A4" s="7" t="s">
        <v>28</v>
      </c>
      <c r="B4" s="8">
        <f t="shared" ref="B4:B13" si="0">($B$23*$B$24^2)/(8*$B$27)*(1-((2*A4)/$B$24)^2)</f>
        <v>2</v>
      </c>
      <c r="C4" s="8">
        <f t="shared" ref="C4:C13" si="1">ATAN((8*$B$25*A4)/$B$24^2)*180/PI()</f>
        <v>0</v>
      </c>
      <c r="D4" s="8">
        <f>ABS(C4-$B$31)</f>
        <v>45</v>
      </c>
      <c r="E4" s="8">
        <f>180-(D4+90)</f>
        <v>45</v>
      </c>
      <c r="F4" s="9">
        <f t="shared" ref="F4:F19" si="2">$B$27</f>
        <v>1863.28125</v>
      </c>
      <c r="G4" s="14">
        <f t="shared" ref="G4:G13" si="3">($B$23*A4)</f>
        <v>0</v>
      </c>
      <c r="H4" s="9">
        <f>(F4^2+G4^2)^0.5</f>
        <v>1863.28125</v>
      </c>
      <c r="I4" s="33">
        <f t="shared" ref="I4:I13" si="4">H4/$H$23</f>
        <v>621.09375</v>
      </c>
      <c r="J4" s="9">
        <f>SIN((90-D4)*PI()/180)*H4</f>
        <v>1317.5388071327466</v>
      </c>
      <c r="K4" s="9">
        <f>COS((90-D4)*PI()/180)*H4</f>
        <v>1317.5388071327468</v>
      </c>
      <c r="L4" s="8">
        <f>IF($H$23/TAN(D4*PI()/180)&gt;$M$23,$M$23,$H$23/TAN(D4*PI()/180))</f>
        <v>3.0000000000000004</v>
      </c>
      <c r="M4" s="9">
        <f t="shared" ref="M4:M13" si="5">$G$32*L4*1000</f>
        <v>298.2000000000001</v>
      </c>
      <c r="N4" s="9">
        <f t="shared" ref="N4:N13" si="6">COS(D4*PI()/180)*$G$32*1000*L4</f>
        <v>210.85924214982853</v>
      </c>
      <c r="O4" s="9">
        <f t="shared" ref="O4:O13" si="7">-SIN(D4*PI()/180)*$G$32*1000*L4</f>
        <v>-210.8592421498285</v>
      </c>
      <c r="P4" s="9">
        <f>J4+O4</f>
        <v>1106.679564982918</v>
      </c>
      <c r="Q4" s="9">
        <f t="shared" ref="Q4:Q19" si="8">K4+N4</f>
        <v>1528.3980492825754</v>
      </c>
      <c r="R4" s="34">
        <f t="shared" ref="R4:R19" si="9">SIN(E4*PI()/180)</f>
        <v>0.70710678118654746</v>
      </c>
      <c r="S4" s="34">
        <f t="shared" ref="S4:S19" si="10">COS(E4*PI()/180)</f>
        <v>0.70710678118654757</v>
      </c>
      <c r="T4" s="34">
        <f t="shared" ref="T4:T19" si="11">TAN($B$32*PI()/180)</f>
        <v>0.75355405010279419</v>
      </c>
      <c r="U4" s="8">
        <f t="shared" ref="U4:U13" si="12">L4/$G$25^2</f>
        <v>0.92592592592592604</v>
      </c>
      <c r="V4" s="8">
        <f t="shared" ref="V4:V19" si="13">U4/L4</f>
        <v>0.30864197530864196</v>
      </c>
      <c r="W4" s="9">
        <f t="shared" ref="W4:W13" si="14">$G$28*U4*$G$27/1000</f>
        <v>197.71307932748266</v>
      </c>
      <c r="X4" s="9">
        <f>((Q4+((R4+(S4/T4))*W4))*T4)</f>
        <v>1396.8848650106368</v>
      </c>
      <c r="Y4" s="8">
        <f>X4/P4</f>
        <v>1.2622306485185693</v>
      </c>
      <c r="Z4" s="10" t="str">
        <f t="shared" ref="Z4:Z13" si="15">IF(D4&lt;$M$24, "Nej", "Ja")</f>
        <v>Ja</v>
      </c>
      <c r="AA4" s="10" t="str">
        <f t="shared" ref="AA4:AA13" si="16">IF(AND(Y4&lt;1,D4&gt;$M$24), "Nej", "Ja")</f>
        <v>Ja</v>
      </c>
    </row>
    <row r="5" spans="1:27" x14ac:dyDescent="0.25">
      <c r="A5" s="10">
        <v>0.5</v>
      </c>
      <c r="B5" s="12">
        <f t="shared" si="0"/>
        <v>1.9911111111111111</v>
      </c>
      <c r="C5" s="12">
        <f t="shared" si="1"/>
        <v>2.0363254547982761</v>
      </c>
      <c r="D5" s="12">
        <f>ABS(C5-$B$31)</f>
        <v>42.963674545201727</v>
      </c>
      <c r="E5" s="12">
        <f t="shared" ref="E5:E19" si="17">180-(D5+90)</f>
        <v>47.036325454798259</v>
      </c>
      <c r="F5" s="11">
        <f t="shared" si="2"/>
        <v>1863.28125</v>
      </c>
      <c r="G5" s="10">
        <f t="shared" si="3"/>
        <v>66.25</v>
      </c>
      <c r="H5" s="11">
        <f t="shared" ref="H5:H19" si="18">(F5^2+G5^2)^0.5</f>
        <v>1864.4586557769424</v>
      </c>
      <c r="I5" s="27">
        <f t="shared" si="4"/>
        <v>621.48621859231412</v>
      </c>
      <c r="J5" s="11">
        <f t="shared" ref="J5:J19" si="19">SIN((90-D5)*PI()/180)*H5</f>
        <v>1364.3846313863553</v>
      </c>
      <c r="K5" s="11">
        <f t="shared" ref="K5:K19" si="20">COS((90-D5)*PI()/180)*H5</f>
        <v>1270.6929828791383</v>
      </c>
      <c r="L5" s="12">
        <f>IF($H$23/TAN(D5*PI()/180)&gt;$M$23,$M$23,$H$23/TAN(D5*PI()/180))</f>
        <v>3.221198156682028</v>
      </c>
      <c r="M5" s="11">
        <f t="shared" si="5"/>
        <v>320.18709677419361</v>
      </c>
      <c r="N5" s="11">
        <f t="shared" si="6"/>
        <v>234.30841582533313</v>
      </c>
      <c r="O5" s="11">
        <f t="shared" si="7"/>
        <v>-218.21856752831459</v>
      </c>
      <c r="P5" s="11">
        <f t="shared" ref="P5:P19" si="21">J5+O5</f>
        <v>1146.1660638580406</v>
      </c>
      <c r="Q5" s="11">
        <f t="shared" si="8"/>
        <v>1505.0013987044715</v>
      </c>
      <c r="R5" s="13">
        <f t="shared" si="9"/>
        <v>0.73178594073881453</v>
      </c>
      <c r="S5" s="13">
        <f t="shared" si="10"/>
        <v>0.68153454566662153</v>
      </c>
      <c r="T5" s="13">
        <f t="shared" si="11"/>
        <v>0.75355405010279419</v>
      </c>
      <c r="U5" s="12">
        <f t="shared" si="12"/>
        <v>0.99419696193889751</v>
      </c>
      <c r="V5" s="12">
        <f t="shared" si="13"/>
        <v>0.30864197530864196</v>
      </c>
      <c r="W5" s="11">
        <f t="shared" si="14"/>
        <v>212.29100222720487</v>
      </c>
      <c r="X5" s="11">
        <f t="shared" ref="X5:X19" si="22">((Q5+((R5+(S5/T5))*W5))*T5)</f>
        <v>1395.8493565036531</v>
      </c>
      <c r="Y5" s="12">
        <f t="shared" ref="Y5:Y19" si="23">X5/P5</f>
        <v>1.2178421613750878</v>
      </c>
      <c r="Z5" s="10" t="str">
        <f t="shared" si="15"/>
        <v>Ja</v>
      </c>
      <c r="AA5" s="10" t="str">
        <f t="shared" si="16"/>
        <v>Ja</v>
      </c>
    </row>
    <row r="6" spans="1:27" x14ac:dyDescent="0.25">
      <c r="A6" s="15">
        <v>1</v>
      </c>
      <c r="B6" s="12">
        <f t="shared" si="0"/>
        <v>1.9644444444444444</v>
      </c>
      <c r="C6" s="12">
        <f t="shared" si="1"/>
        <v>4.067519566580148</v>
      </c>
      <c r="D6" s="12">
        <f>ABS(C6-$B$31)</f>
        <v>40.932480433419855</v>
      </c>
      <c r="E6" s="12">
        <f t="shared" si="17"/>
        <v>49.067519566580131</v>
      </c>
      <c r="F6" s="11">
        <f t="shared" si="2"/>
        <v>1863.28125</v>
      </c>
      <c r="G6" s="10">
        <f t="shared" si="3"/>
        <v>132.5</v>
      </c>
      <c r="H6" s="11">
        <f t="shared" si="18"/>
        <v>1867.9864203472043</v>
      </c>
      <c r="I6" s="27">
        <f t="shared" si="4"/>
        <v>622.66214011573481</v>
      </c>
      <c r="J6" s="11">
        <f t="shared" si="19"/>
        <v>1411.230455639964</v>
      </c>
      <c r="K6" s="11">
        <f t="shared" si="20"/>
        <v>1223.8471586255293</v>
      </c>
      <c r="L6" s="12">
        <f t="shared" ref="L6:L18" si="24">IF($H$23/TAN(D6*PI()/180)&gt;$M$23,$M$23,$H$23/TAN(D6*PI()/180))</f>
        <v>3.4593301435406696</v>
      </c>
      <c r="M6" s="11">
        <f t="shared" si="5"/>
        <v>343.8574162679426</v>
      </c>
      <c r="N6" s="11">
        <f t="shared" si="6"/>
        <v>259.77815092723927</v>
      </c>
      <c r="O6" s="11">
        <f t="shared" si="7"/>
        <v>-225.28478648876768</v>
      </c>
      <c r="P6" s="11">
        <f>J6+O6</f>
        <v>1185.9456691511964</v>
      </c>
      <c r="Q6" s="11">
        <f t="shared" si="8"/>
        <v>1483.6253095527686</v>
      </c>
      <c r="R6" s="13">
        <f t="shared" si="9"/>
        <v>0.75548218138419709</v>
      </c>
      <c r="S6" s="13">
        <f t="shared" si="10"/>
        <v>0.65516919464438728</v>
      </c>
      <c r="T6" s="13">
        <f t="shared" si="11"/>
        <v>0.75355405010279419</v>
      </c>
      <c r="U6" s="12">
        <f t="shared" si="12"/>
        <v>1.0676944887471203</v>
      </c>
      <c r="V6" s="12">
        <f t="shared" si="13"/>
        <v>0.30864197530864196</v>
      </c>
      <c r="W6" s="11">
        <f t="shared" si="14"/>
        <v>227.98493836326944</v>
      </c>
      <c r="X6" s="11">
        <f t="shared" si="22"/>
        <v>1397.1516326918286</v>
      </c>
      <c r="Y6" s="12">
        <f>X6/P6</f>
        <v>1.1780907583159321</v>
      </c>
      <c r="Z6" s="10" t="str">
        <f t="shared" si="15"/>
        <v>Ja</v>
      </c>
      <c r="AA6" s="10" t="str">
        <f t="shared" si="16"/>
        <v>Ja</v>
      </c>
    </row>
    <row r="7" spans="1:27" x14ac:dyDescent="0.25">
      <c r="A7" s="10">
        <v>1.5</v>
      </c>
      <c r="B7" s="12">
        <f t="shared" si="0"/>
        <v>1.92</v>
      </c>
      <c r="C7" s="12">
        <f t="shared" si="1"/>
        <v>6.088528154195175</v>
      </c>
      <c r="D7" s="12">
        <f>ABS(C7-$B$31)</f>
        <v>38.911471845804826</v>
      </c>
      <c r="E7" s="12">
        <f t="shared" si="17"/>
        <v>51.08852815419516</v>
      </c>
      <c r="F7" s="11">
        <f t="shared" si="2"/>
        <v>1863.28125</v>
      </c>
      <c r="G7" s="10">
        <f t="shared" si="3"/>
        <v>198.75</v>
      </c>
      <c r="H7" s="11">
        <f t="shared" si="18"/>
        <v>1873.8512692050995</v>
      </c>
      <c r="I7" s="27">
        <f t="shared" si="4"/>
        <v>624.61708973503312</v>
      </c>
      <c r="J7" s="11">
        <f t="shared" si="19"/>
        <v>1458.076279893573</v>
      </c>
      <c r="K7" s="11">
        <f t="shared" si="20"/>
        <v>1177.0013343719204</v>
      </c>
      <c r="L7" s="12">
        <f t="shared" si="24"/>
        <v>3.7164179104477615</v>
      </c>
      <c r="M7" s="11">
        <f t="shared" si="5"/>
        <v>369.41194029850749</v>
      </c>
      <c r="N7" s="11">
        <f t="shared" si="6"/>
        <v>287.44585897001599</v>
      </c>
      <c r="O7" s="11">
        <f t="shared" si="7"/>
        <v>-232.03460904808517</v>
      </c>
      <c r="P7" s="11">
        <f t="shared" si="21"/>
        <v>1226.0416708454877</v>
      </c>
      <c r="Q7" s="11">
        <f t="shared" si="8"/>
        <v>1464.4471933419363</v>
      </c>
      <c r="R7" s="13">
        <f t="shared" si="9"/>
        <v>0.77811740123435658</v>
      </c>
      <c r="S7" s="13">
        <f t="shared" si="10"/>
        <v>0.62811886605664968</v>
      </c>
      <c r="T7" s="13">
        <f t="shared" si="11"/>
        <v>0.75355405010279419</v>
      </c>
      <c r="U7" s="12">
        <f t="shared" si="12"/>
        <v>1.1470425649530127</v>
      </c>
      <c r="V7" s="12">
        <f t="shared" si="13"/>
        <v>0.30864197530864196</v>
      </c>
      <c r="W7" s="11">
        <f t="shared" si="14"/>
        <v>244.9281430474785</v>
      </c>
      <c r="X7" s="11">
        <f t="shared" si="22"/>
        <v>1400.9985797969669</v>
      </c>
      <c r="Y7" s="12">
        <f t="shared" si="23"/>
        <v>1.1427006219379374</v>
      </c>
      <c r="Z7" s="10" t="str">
        <f t="shared" si="15"/>
        <v>Ja</v>
      </c>
      <c r="AA7" s="10" t="str">
        <f t="shared" si="16"/>
        <v>Ja</v>
      </c>
    </row>
    <row r="8" spans="1:27" x14ac:dyDescent="0.25">
      <c r="A8" s="10">
        <v>2</v>
      </c>
      <c r="B8" s="12">
        <f t="shared" si="0"/>
        <v>1.8577777777777778</v>
      </c>
      <c r="C8" s="12">
        <f t="shared" si="1"/>
        <v>8.0944484822720035</v>
      </c>
      <c r="D8" s="12">
        <f t="shared" ref="D8:D19" si="25">ABS(C8-$B$31)</f>
        <v>36.905551517728</v>
      </c>
      <c r="E8" s="12">
        <f t="shared" si="17"/>
        <v>53.094448482272</v>
      </c>
      <c r="F8" s="11">
        <f t="shared" si="2"/>
        <v>1863.28125</v>
      </c>
      <c r="G8" s="10">
        <f t="shared" si="3"/>
        <v>265</v>
      </c>
      <c r="H8" s="11">
        <f t="shared" si="18"/>
        <v>1882.0313537774982</v>
      </c>
      <c r="I8" s="27">
        <f t="shared" si="4"/>
        <v>627.34378459249945</v>
      </c>
      <c r="J8" s="11">
        <f t="shared" si="19"/>
        <v>1504.9221041471817</v>
      </c>
      <c r="K8" s="11">
        <f t="shared" si="20"/>
        <v>1130.1555101183121</v>
      </c>
      <c r="L8" s="12">
        <f t="shared" si="24"/>
        <v>3.9948186528497396</v>
      </c>
      <c r="M8" s="11">
        <f t="shared" si="5"/>
        <v>397.08497409326412</v>
      </c>
      <c r="N8" s="11">
        <f t="shared" si="6"/>
        <v>317.51965956264979</v>
      </c>
      <c r="O8" s="11">
        <f t="shared" si="7"/>
        <v>-238.44861593615343</v>
      </c>
      <c r="P8" s="11">
        <f t="shared" si="21"/>
        <v>1266.4734882110283</v>
      </c>
      <c r="Q8" s="11">
        <f t="shared" si="8"/>
        <v>1447.675169680962</v>
      </c>
      <c r="R8" s="13">
        <f t="shared" si="9"/>
        <v>0.79962647865913294</v>
      </c>
      <c r="S8" s="13">
        <f t="shared" si="10"/>
        <v>0.60049770576347361</v>
      </c>
      <c r="T8" s="13">
        <f t="shared" si="11"/>
        <v>0.75355405010279419</v>
      </c>
      <c r="U8" s="12">
        <f t="shared" si="12"/>
        <v>1.2329687200153516</v>
      </c>
      <c r="V8" s="12">
        <f t="shared" si="13"/>
        <v>0.30864197530864196</v>
      </c>
      <c r="W8" s="11">
        <f t="shared" si="14"/>
        <v>263.27596573659594</v>
      </c>
      <c r="X8" s="11">
        <f t="shared" si="22"/>
        <v>1407.6381330780368</v>
      </c>
      <c r="Y8" s="12">
        <f t="shared" si="23"/>
        <v>1.1114627713734555</v>
      </c>
      <c r="Z8" s="35" t="str">
        <f t="shared" si="15"/>
        <v>Ja</v>
      </c>
      <c r="AA8" s="10" t="str">
        <f t="shared" si="16"/>
        <v>Ja</v>
      </c>
    </row>
    <row r="9" spans="1:27" x14ac:dyDescent="0.25">
      <c r="A9" s="15">
        <v>2.5</v>
      </c>
      <c r="B9" s="12">
        <f t="shared" si="0"/>
        <v>1.7777777777777777</v>
      </c>
      <c r="C9" s="12">
        <f t="shared" si="1"/>
        <v>10.080597987542321</v>
      </c>
      <c r="D9" s="12">
        <f t="shared" si="25"/>
        <v>34.919402012457681</v>
      </c>
      <c r="E9" s="12">
        <f t="shared" si="17"/>
        <v>55.080597987542319</v>
      </c>
      <c r="F9" s="11">
        <f t="shared" si="2"/>
        <v>1863.28125</v>
      </c>
      <c r="G9" s="10">
        <f t="shared" si="3"/>
        <v>331.25</v>
      </c>
      <c r="H9" s="11">
        <f t="shared" si="18"/>
        <v>1892.4966523356291</v>
      </c>
      <c r="I9" s="27">
        <f t="shared" si="4"/>
        <v>630.83221744520972</v>
      </c>
      <c r="J9" s="11">
        <f t="shared" si="19"/>
        <v>1551.7679284007907</v>
      </c>
      <c r="K9" s="11">
        <f t="shared" si="20"/>
        <v>1083.3096858647032</v>
      </c>
      <c r="L9" s="12">
        <f t="shared" si="24"/>
        <v>4.2972972972972965</v>
      </c>
      <c r="M9" s="11">
        <f t="shared" si="5"/>
        <v>427.15135135135131</v>
      </c>
      <c r="N9" s="11">
        <f t="shared" si="6"/>
        <v>350.2462034910547</v>
      </c>
      <c r="O9" s="11">
        <f t="shared" si="7"/>
        <v>-244.51150055035907</v>
      </c>
      <c r="P9" s="11">
        <f t="shared" si="21"/>
        <v>1307.2564278504315</v>
      </c>
      <c r="Q9" s="11">
        <f t="shared" si="8"/>
        <v>1433.5558893557579</v>
      </c>
      <c r="R9" s="13">
        <f t="shared" si="9"/>
        <v>0.81995808366988265</v>
      </c>
      <c r="S9" s="13">
        <f t="shared" si="10"/>
        <v>0.57242356784501258</v>
      </c>
      <c r="T9" s="13">
        <f t="shared" si="11"/>
        <v>0.75355405010279419</v>
      </c>
      <c r="U9" s="12">
        <f t="shared" si="12"/>
        <v>1.3263263263263261</v>
      </c>
      <c r="V9" s="12">
        <f t="shared" si="13"/>
        <v>0.30864197530864196</v>
      </c>
      <c r="W9" s="11">
        <f t="shared" si="14"/>
        <v>283.21062714477239</v>
      </c>
      <c r="X9" s="11">
        <f t="shared" si="22"/>
        <v>1417.3692409573298</v>
      </c>
      <c r="Y9" s="12">
        <f t="shared" si="23"/>
        <v>1.0842319921026977</v>
      </c>
      <c r="Z9" s="35" t="str">
        <f t="shared" si="15"/>
        <v>Ja</v>
      </c>
      <c r="AA9" s="10" t="str">
        <f t="shared" si="16"/>
        <v>Ja</v>
      </c>
    </row>
    <row r="10" spans="1:27" x14ac:dyDescent="0.25">
      <c r="A10" s="10">
        <v>3</v>
      </c>
      <c r="B10" s="12">
        <f t="shared" si="0"/>
        <v>1.68</v>
      </c>
      <c r="C10" s="12">
        <f t="shared" si="1"/>
        <v>12.042575142884985</v>
      </c>
      <c r="D10" s="12">
        <f t="shared" si="25"/>
        <v>32.957424857115015</v>
      </c>
      <c r="E10" s="12">
        <f t="shared" si="17"/>
        <v>57.042575142884985</v>
      </c>
      <c r="F10" s="11">
        <f t="shared" si="2"/>
        <v>1863.28125</v>
      </c>
      <c r="G10" s="10">
        <f t="shared" si="3"/>
        <v>397.5</v>
      </c>
      <c r="H10" s="11">
        <f t="shared" si="18"/>
        <v>1905.2095072725106</v>
      </c>
      <c r="I10" s="27">
        <f t="shared" si="4"/>
        <v>635.06983575750348</v>
      </c>
      <c r="J10" s="11">
        <f t="shared" si="19"/>
        <v>1598.6137526543994</v>
      </c>
      <c r="K10" s="11">
        <f t="shared" si="20"/>
        <v>1036.4638616110942</v>
      </c>
      <c r="L10" s="12">
        <f t="shared" si="24"/>
        <v>4.6271186440677976</v>
      </c>
      <c r="M10" s="11">
        <f t="shared" si="5"/>
        <v>459.93559322033911</v>
      </c>
      <c r="N10" s="11">
        <f t="shared" si="6"/>
        <v>385.920478483171</v>
      </c>
      <c r="O10" s="11">
        <f t="shared" si="7"/>
        <v>-250.21217835722069</v>
      </c>
      <c r="P10" s="11">
        <f t="shared" si="21"/>
        <v>1348.4015742971787</v>
      </c>
      <c r="Q10" s="11">
        <f t="shared" si="8"/>
        <v>1422.3843400942651</v>
      </c>
      <c r="R10" s="13">
        <f t="shared" si="9"/>
        <v>0.8390750447928258</v>
      </c>
      <c r="S10" s="13">
        <f t="shared" si="10"/>
        <v>0.54401568838216185</v>
      </c>
      <c r="T10" s="13">
        <f t="shared" si="11"/>
        <v>0.75355405010279419</v>
      </c>
      <c r="U10" s="12">
        <f t="shared" si="12"/>
        <v>1.4281230382925301</v>
      </c>
      <c r="V10" s="12">
        <f t="shared" si="13"/>
        <v>0.30864197530864196</v>
      </c>
      <c r="W10" s="11">
        <f t="shared" si="14"/>
        <v>304.94729184408345</v>
      </c>
      <c r="X10" s="11">
        <f t="shared" si="22"/>
        <v>1430.5542259130389</v>
      </c>
      <c r="Y10" s="12">
        <f t="shared" si="23"/>
        <v>1.0609259535006701</v>
      </c>
      <c r="Z10" s="35" t="str">
        <f t="shared" si="15"/>
        <v>Ja</v>
      </c>
      <c r="AA10" s="10" t="str">
        <f t="shared" si="16"/>
        <v>Ja</v>
      </c>
    </row>
    <row r="11" spans="1:27" x14ac:dyDescent="0.25">
      <c r="A11" s="10">
        <v>3.5</v>
      </c>
      <c r="B11" s="12">
        <f t="shared" si="0"/>
        <v>1.5644444444444443</v>
      </c>
      <c r="C11" s="12">
        <f t="shared" si="1"/>
        <v>13.97631066602688</v>
      </c>
      <c r="D11" s="12">
        <f t="shared" si="25"/>
        <v>31.02368933397312</v>
      </c>
      <c r="E11" s="12">
        <f t="shared" si="17"/>
        <v>58.976310666026876</v>
      </c>
      <c r="F11" s="11">
        <f t="shared" si="2"/>
        <v>1863.28125</v>
      </c>
      <c r="G11" s="10">
        <f t="shared" si="3"/>
        <v>463.75</v>
      </c>
      <c r="H11" s="11">
        <f t="shared" si="18"/>
        <v>1920.1252769289722</v>
      </c>
      <c r="I11" s="27">
        <f t="shared" si="4"/>
        <v>640.0417589763241</v>
      </c>
      <c r="J11" s="11">
        <f t="shared" si="19"/>
        <v>1645.4595769080081</v>
      </c>
      <c r="K11" s="11">
        <f t="shared" si="20"/>
        <v>989.61803735748549</v>
      </c>
      <c r="L11" s="12">
        <f t="shared" si="24"/>
        <v>4.9881656804733732</v>
      </c>
      <c r="M11" s="11">
        <f t="shared" si="5"/>
        <v>495.82366863905332</v>
      </c>
      <c r="N11" s="11">
        <f t="shared" si="6"/>
        <v>424.89821566469215</v>
      </c>
      <c r="O11" s="11">
        <f t="shared" si="7"/>
        <v>-255.5437667164874</v>
      </c>
      <c r="P11" s="11">
        <f t="shared" si="21"/>
        <v>1389.9158101915207</v>
      </c>
      <c r="Q11" s="11">
        <f t="shared" si="8"/>
        <v>1414.5162530221776</v>
      </c>
      <c r="R11" s="13">
        <f t="shared" si="9"/>
        <v>0.85695428141008512</v>
      </c>
      <c r="S11" s="13">
        <f t="shared" si="10"/>
        <v>0.51539243259183065</v>
      </c>
      <c r="T11" s="13">
        <f t="shared" si="11"/>
        <v>0.75355405010279419</v>
      </c>
      <c r="U11" s="12">
        <f t="shared" si="12"/>
        <v>1.5395573087880781</v>
      </c>
      <c r="V11" s="12">
        <f t="shared" si="13"/>
        <v>0.30864197530864196</v>
      </c>
      <c r="W11" s="11">
        <f t="shared" si="14"/>
        <v>328.74186562735281</v>
      </c>
      <c r="X11" s="11">
        <f t="shared" si="22"/>
        <v>1447.6343185841758</v>
      </c>
      <c r="Y11" s="12">
        <f t="shared" si="23"/>
        <v>1.0415266219503625</v>
      </c>
      <c r="Z11" s="35" t="str">
        <f t="shared" si="15"/>
        <v>Ja</v>
      </c>
      <c r="AA11" s="10" t="str">
        <f t="shared" si="16"/>
        <v>Ja</v>
      </c>
    </row>
    <row r="12" spans="1:27" x14ac:dyDescent="0.25">
      <c r="A12" s="15">
        <v>4</v>
      </c>
      <c r="B12" s="12">
        <f t="shared" si="0"/>
        <v>1.431111111111111</v>
      </c>
      <c r="C12" s="12">
        <f t="shared" si="1"/>
        <v>15.878107876058362</v>
      </c>
      <c r="D12" s="12">
        <f t="shared" si="25"/>
        <v>29.121892123941638</v>
      </c>
      <c r="E12" s="12">
        <f t="shared" si="17"/>
        <v>60.878107876058365</v>
      </c>
      <c r="F12" s="11">
        <f t="shared" si="2"/>
        <v>1863.28125</v>
      </c>
      <c r="G12" s="10">
        <f t="shared" si="3"/>
        <v>530</v>
      </c>
      <c r="H12" s="11">
        <f t="shared" si="18"/>
        <v>1937.1930767483045</v>
      </c>
      <c r="I12" s="27">
        <f t="shared" si="4"/>
        <v>645.73102558276821</v>
      </c>
      <c r="J12" s="11">
        <f t="shared" si="19"/>
        <v>1692.3054011616168</v>
      </c>
      <c r="K12" s="11">
        <f t="shared" si="20"/>
        <v>942.77221310387642</v>
      </c>
      <c r="L12" s="12">
        <f t="shared" si="24"/>
        <v>5.3850931677018634</v>
      </c>
      <c r="M12" s="11">
        <f t="shared" si="5"/>
        <v>535.2782608695652</v>
      </c>
      <c r="N12" s="11">
        <f t="shared" si="6"/>
        <v>467.61177441047505</v>
      </c>
      <c r="O12" s="11">
        <f t="shared" si="7"/>
        <v>-260.50344525981484</v>
      </c>
      <c r="P12" s="11">
        <f t="shared" si="21"/>
        <v>1431.8019559018021</v>
      </c>
      <c r="Q12" s="11">
        <f t="shared" si="8"/>
        <v>1410.3839875143515</v>
      </c>
      <c r="R12" s="13">
        <f t="shared" si="9"/>
        <v>0.87358633554599197</v>
      </c>
      <c r="S12" s="13">
        <f t="shared" si="10"/>
        <v>0.48666920423150412</v>
      </c>
      <c r="T12" s="13">
        <f t="shared" si="11"/>
        <v>0.75355405010279419</v>
      </c>
      <c r="U12" s="12">
        <f t="shared" si="12"/>
        <v>1.6620657925005751</v>
      </c>
      <c r="V12" s="12">
        <f t="shared" si="13"/>
        <v>0.30864197530864196</v>
      </c>
      <c r="W12" s="11">
        <f t="shared" si="14"/>
        <v>354.90111755057444</v>
      </c>
      <c r="X12" s="11">
        <f t="shared" si="22"/>
        <v>1469.1494717251967</v>
      </c>
      <c r="Y12" s="12">
        <f t="shared" si="23"/>
        <v>1.0260842749023009</v>
      </c>
      <c r="Z12" s="35" t="str">
        <f t="shared" si="15"/>
        <v>Ja</v>
      </c>
      <c r="AA12" s="10" t="str">
        <f t="shared" si="16"/>
        <v>Ja</v>
      </c>
    </row>
    <row r="13" spans="1:27" x14ac:dyDescent="0.25">
      <c r="A13" s="10">
        <v>4.5</v>
      </c>
      <c r="B13" s="12">
        <f t="shared" si="0"/>
        <v>1.28</v>
      </c>
      <c r="C13" s="12">
        <f t="shared" si="1"/>
        <v>17.744671625056935</v>
      </c>
      <c r="D13" s="12">
        <f t="shared" si="25"/>
        <v>27.255328374943065</v>
      </c>
      <c r="E13" s="12">
        <f t="shared" si="17"/>
        <v>62.744671625056938</v>
      </c>
      <c r="F13" s="11">
        <f t="shared" si="2"/>
        <v>1863.28125</v>
      </c>
      <c r="G13" s="10">
        <f t="shared" si="3"/>
        <v>596.25</v>
      </c>
      <c r="H13" s="11">
        <f t="shared" si="18"/>
        <v>1956.3565828093717</v>
      </c>
      <c r="I13" s="27">
        <f t="shared" si="4"/>
        <v>652.11886093645728</v>
      </c>
      <c r="J13" s="11">
        <f t="shared" si="19"/>
        <v>1739.1512254152258</v>
      </c>
      <c r="K13" s="11">
        <f t="shared" si="20"/>
        <v>895.92638885026747</v>
      </c>
      <c r="L13" s="12">
        <f t="shared" si="24"/>
        <v>5.8235294117647074</v>
      </c>
      <c r="M13" s="11">
        <f t="shared" si="5"/>
        <v>578.85882352941201</v>
      </c>
      <c r="N13" s="11">
        <f t="shared" si="6"/>
        <v>514.5907658806841</v>
      </c>
      <c r="O13" s="11">
        <f t="shared" si="7"/>
        <v>-265.09221272641298</v>
      </c>
      <c r="P13" s="11">
        <f t="shared" si="21"/>
        <v>1474.0590126888128</v>
      </c>
      <c r="Q13" s="11">
        <f t="shared" si="8"/>
        <v>1410.5171547309515</v>
      </c>
      <c r="R13" s="13">
        <f t="shared" si="9"/>
        <v>0.88897455642660284</v>
      </c>
      <c r="S13" s="13">
        <f t="shared" si="10"/>
        <v>0.45795658967431035</v>
      </c>
      <c r="T13" s="13">
        <f t="shared" si="11"/>
        <v>0.75355405010279419</v>
      </c>
      <c r="U13" s="12">
        <f t="shared" si="12"/>
        <v>1.797385620915033</v>
      </c>
      <c r="V13" s="12">
        <f t="shared" si="13"/>
        <v>0.30864197530864196</v>
      </c>
      <c r="W13" s="11">
        <f t="shared" si="14"/>
        <v>383.7959775180546</v>
      </c>
      <c r="X13" s="11">
        <f t="shared" si="22"/>
        <v>1495.7640439189324</v>
      </c>
      <c r="Y13" s="12">
        <f t="shared" si="23"/>
        <v>1.0147246691233398</v>
      </c>
      <c r="Z13" s="35" t="str">
        <f t="shared" si="15"/>
        <v>Ja</v>
      </c>
      <c r="AA13" s="10" t="str">
        <f t="shared" si="16"/>
        <v>Ja</v>
      </c>
    </row>
    <row r="14" spans="1:27" x14ac:dyDescent="0.25">
      <c r="A14" s="10">
        <v>5</v>
      </c>
      <c r="B14" s="12">
        <f t="shared" ref="B14:B16" si="26">($B$23*$B$24^2)/(8*$B$27)*(1-((2*A14)/$B$24)^2)</f>
        <v>1.1111111111111112</v>
      </c>
      <c r="C14" s="12">
        <f t="shared" ref="C14:C16" si="27">ATAN((8*$B$25*A14)/$B$24^2)*180/PI()</f>
        <v>19.573125830410195</v>
      </c>
      <c r="D14" s="12">
        <f t="shared" si="25"/>
        <v>25.426874169589805</v>
      </c>
      <c r="E14" s="12">
        <f t="shared" si="17"/>
        <v>64.573125830410191</v>
      </c>
      <c r="F14" s="11">
        <f t="shared" si="2"/>
        <v>1863.28125</v>
      </c>
      <c r="G14" s="10">
        <f t="shared" ref="G14:G16" si="28">($B$23*A14)</f>
        <v>662.5</v>
      </c>
      <c r="H14" s="11">
        <f t="shared" si="18"/>
        <v>1977.5548706929885</v>
      </c>
      <c r="I14" s="27">
        <f t="shared" ref="I14:I16" si="29">H14/$H$23</f>
        <v>659.1849568976628</v>
      </c>
      <c r="J14" s="11">
        <f t="shared" si="19"/>
        <v>1785.9970496688345</v>
      </c>
      <c r="K14" s="11">
        <f t="shared" si="20"/>
        <v>849.0805645966592</v>
      </c>
      <c r="L14" s="12">
        <f t="shared" si="24"/>
        <v>6.3103448275862073</v>
      </c>
      <c r="M14" s="11">
        <f t="shared" ref="M14:M16" si="30">$G$32*L14*1000</f>
        <v>627.24827586206902</v>
      </c>
      <c r="N14" s="11">
        <f t="shared" ref="N14:N16" si="31">COS(D14*PI()/180)*$G$32*1000*L14</f>
        <v>566.489247252567</v>
      </c>
      <c r="O14" s="11">
        <f t="shared" ref="O14:O16" si="32">-SIN(D14*PI()/180)*$G$32*1000*L14</f>
        <v>-269.31456016925313</v>
      </c>
      <c r="P14" s="11">
        <f t="shared" si="21"/>
        <v>1516.6824894995814</v>
      </c>
      <c r="Q14" s="11">
        <f t="shared" si="8"/>
        <v>1415.5698118492262</v>
      </c>
      <c r="R14" s="13">
        <f t="shared" si="9"/>
        <v>0.90313400459172744</v>
      </c>
      <c r="S14" s="13">
        <f t="shared" si="10"/>
        <v>0.42935878906819841</v>
      </c>
      <c r="T14" s="13">
        <f t="shared" si="11"/>
        <v>0.75355405010279419</v>
      </c>
      <c r="U14" s="12">
        <f t="shared" ref="U14:U16" si="33">L14/$G$25^2</f>
        <v>1.9476372924648786</v>
      </c>
      <c r="V14" s="12">
        <f t="shared" si="13"/>
        <v>0.30864197530864196</v>
      </c>
      <c r="W14" s="11">
        <f t="shared" ref="W14:W16" si="34">$G$28*U14*$G$27/1000</f>
        <v>415.87923582677382</v>
      </c>
      <c r="X14" s="11">
        <f t="shared" si="22"/>
        <v>1528.3006620844337</v>
      </c>
      <c r="Y14" s="12">
        <f t="shared" si="23"/>
        <v>1.0076602536557837</v>
      </c>
      <c r="Z14" s="35" t="str">
        <f t="shared" ref="Z14:Z16" si="35">IF(D14&lt;$M$24, "Nej", "Ja")</f>
        <v>Ja</v>
      </c>
      <c r="AA14" s="10" t="str">
        <f t="shared" ref="AA14:AA16" si="36">IF(AND(Y14&lt;1,D14&gt;$M$24), "Nej", "Ja")</f>
        <v>Ja</v>
      </c>
    </row>
    <row r="15" spans="1:27" x14ac:dyDescent="0.25">
      <c r="A15" s="15">
        <v>5.5</v>
      </c>
      <c r="B15" s="12">
        <f t="shared" si="26"/>
        <v>0.92444444444444462</v>
      </c>
      <c r="C15" s="12">
        <f t="shared" si="27"/>
        <v>21.361020161252576</v>
      </c>
      <c r="D15" s="12">
        <f t="shared" si="25"/>
        <v>23.638979838747424</v>
      </c>
      <c r="E15" s="12">
        <f t="shared" si="17"/>
        <v>66.361020161252583</v>
      </c>
      <c r="F15" s="11">
        <f t="shared" si="2"/>
        <v>1863.28125</v>
      </c>
      <c r="G15" s="10">
        <f t="shared" si="28"/>
        <v>728.75</v>
      </c>
      <c r="H15" s="11">
        <f t="shared" si="18"/>
        <v>2000.723263997688</v>
      </c>
      <c r="I15" s="27">
        <f t="shared" si="29"/>
        <v>666.90775466589605</v>
      </c>
      <c r="J15" s="11">
        <f t="shared" si="19"/>
        <v>1832.8428739224432</v>
      </c>
      <c r="K15" s="11">
        <f t="shared" si="20"/>
        <v>802.23474034305013</v>
      </c>
      <c r="L15" s="12">
        <f t="shared" si="24"/>
        <v>6.5465367070797722</v>
      </c>
      <c r="M15" s="11">
        <f t="shared" si="30"/>
        <v>650.72574868372931</v>
      </c>
      <c r="N15" s="11">
        <f t="shared" si="31"/>
        <v>596.1234483622211</v>
      </c>
      <c r="O15" s="11">
        <f t="shared" si="32"/>
        <v>-260.92304289336829</v>
      </c>
      <c r="P15" s="11">
        <f t="shared" si="21"/>
        <v>1571.9198310290749</v>
      </c>
      <c r="Q15" s="11">
        <f t="shared" si="8"/>
        <v>1398.3581887052712</v>
      </c>
      <c r="R15" s="13">
        <f t="shared" si="9"/>
        <v>0.91609014944935496</v>
      </c>
      <c r="S15" s="13">
        <f t="shared" si="10"/>
        <v>0.40097236573342365</v>
      </c>
      <c r="T15" s="13">
        <f t="shared" si="11"/>
        <v>0.75355405010279419</v>
      </c>
      <c r="U15" s="12">
        <f t="shared" si="33"/>
        <v>2.0205360207036334</v>
      </c>
      <c r="V15" s="12">
        <f t="shared" si="13"/>
        <v>0.30864197530864196</v>
      </c>
      <c r="W15" s="11">
        <f t="shared" si="34"/>
        <v>431.44531042904663</v>
      </c>
      <c r="X15" s="11">
        <f t="shared" si="22"/>
        <v>1524.5729352933124</v>
      </c>
      <c r="Y15" s="12">
        <f t="shared" si="23"/>
        <v>0.96987957349913556</v>
      </c>
      <c r="Z15" s="35" t="str">
        <f t="shared" si="35"/>
        <v>Nej</v>
      </c>
      <c r="AA15" s="10" t="str">
        <f t="shared" si="36"/>
        <v>Ja</v>
      </c>
    </row>
    <row r="16" spans="1:27" x14ac:dyDescent="0.25">
      <c r="A16" s="10">
        <v>6</v>
      </c>
      <c r="B16" s="12">
        <f t="shared" si="26"/>
        <v>0.71999999999999975</v>
      </c>
      <c r="C16" s="12">
        <f t="shared" si="27"/>
        <v>23.106326858271576</v>
      </c>
      <c r="D16" s="12">
        <f t="shared" si="25"/>
        <v>21.893673141728424</v>
      </c>
      <c r="E16" s="12">
        <f t="shared" si="17"/>
        <v>68.106326858271572</v>
      </c>
      <c r="F16" s="11">
        <f t="shared" si="2"/>
        <v>1863.28125</v>
      </c>
      <c r="G16" s="10">
        <f t="shared" si="28"/>
        <v>795</v>
      </c>
      <c r="H16" s="11">
        <f t="shared" si="18"/>
        <v>2025.7941693571838</v>
      </c>
      <c r="I16" s="27">
        <f t="shared" si="29"/>
        <v>675.26472311906127</v>
      </c>
      <c r="J16" s="11">
        <f t="shared" si="19"/>
        <v>1879.688698176052</v>
      </c>
      <c r="K16" s="11">
        <f t="shared" si="20"/>
        <v>755.38891608944141</v>
      </c>
      <c r="L16" s="12">
        <f t="shared" si="24"/>
        <v>6.5465367070797722</v>
      </c>
      <c r="M16" s="11">
        <f t="shared" si="30"/>
        <v>650.72574868372931</v>
      </c>
      <c r="N16" s="11">
        <f t="shared" si="31"/>
        <v>603.79373872967778</v>
      </c>
      <c r="O16" s="11">
        <f t="shared" si="32"/>
        <v>-242.6460819194032</v>
      </c>
      <c r="P16" s="11">
        <f t="shared" si="21"/>
        <v>1637.0426162566487</v>
      </c>
      <c r="Q16" s="11">
        <f t="shared" si="8"/>
        <v>1359.1826548191193</v>
      </c>
      <c r="R16" s="13">
        <f t="shared" si="9"/>
        <v>0.92787743523445254</v>
      </c>
      <c r="S16" s="13">
        <f t="shared" si="10"/>
        <v>0.37288532444001365</v>
      </c>
      <c r="T16" s="13">
        <f t="shared" si="11"/>
        <v>0.75355405010279419</v>
      </c>
      <c r="U16" s="12">
        <f t="shared" si="33"/>
        <v>2.0205360207036334</v>
      </c>
      <c r="V16" s="12">
        <f t="shared" si="13"/>
        <v>0.30864197530864196</v>
      </c>
      <c r="W16" s="11">
        <f t="shared" si="34"/>
        <v>431.44531042904663</v>
      </c>
      <c r="X16" s="11">
        <f t="shared" si="22"/>
        <v>1486.7662820672431</v>
      </c>
      <c r="Y16" s="12">
        <f t="shared" si="23"/>
        <v>0.90820255215283541</v>
      </c>
      <c r="Z16" s="35" t="str">
        <f t="shared" si="35"/>
        <v>Nej</v>
      </c>
      <c r="AA16" s="10" t="str">
        <f t="shared" si="36"/>
        <v>Ja</v>
      </c>
    </row>
    <row r="17" spans="1:28" x14ac:dyDescent="0.25">
      <c r="A17" s="10">
        <v>6.5</v>
      </c>
      <c r="B17" s="12">
        <f>($B$23*$B$24^2)/(8*$B$27)*(1-((2*A17)/$B$24)^2)</f>
        <v>0.49777777777777765</v>
      </c>
      <c r="C17" s="12">
        <f>ATAN((8*$B$25*A17)/$B$24^2)*180/PI()</f>
        <v>24.807428973141768</v>
      </c>
      <c r="D17" s="12">
        <f t="shared" si="25"/>
        <v>20.192571026858232</v>
      </c>
      <c r="E17" s="12">
        <f t="shared" si="17"/>
        <v>69.807428973141768</v>
      </c>
      <c r="F17" s="11">
        <f t="shared" si="2"/>
        <v>1863.28125</v>
      </c>
      <c r="G17" s="10">
        <f>($B$23*A17)</f>
        <v>861.25</v>
      </c>
      <c r="H17" s="11">
        <f t="shared" si="18"/>
        <v>2052.6978781841135</v>
      </c>
      <c r="I17" s="27">
        <f>H17/$H$23</f>
        <v>684.23262606137121</v>
      </c>
      <c r="J17" s="11">
        <f t="shared" si="19"/>
        <v>1926.5345224296607</v>
      </c>
      <c r="K17" s="11">
        <f t="shared" si="20"/>
        <v>708.54309183583291</v>
      </c>
      <c r="L17" s="12">
        <f t="shared" si="24"/>
        <v>6.5465367070797722</v>
      </c>
      <c r="M17" s="11">
        <f>$G$32*L17*1000</f>
        <v>650.72574868372931</v>
      </c>
      <c r="N17" s="11">
        <f>COS(D17*PI()/180)*$G$32*1000*L17</f>
        <v>610.73070362507985</v>
      </c>
      <c r="O17" s="11">
        <f>-SIN(D17*PI()/180)*$G$32*1000*L17</f>
        <v>-224.61524358247613</v>
      </c>
      <c r="P17" s="11">
        <f t="shared" si="21"/>
        <v>1701.9192788471846</v>
      </c>
      <c r="Q17" s="11">
        <f t="shared" si="8"/>
        <v>1319.2737954609129</v>
      </c>
      <c r="R17" s="13">
        <f t="shared" si="9"/>
        <v>0.93853778624935236</v>
      </c>
      <c r="S17" s="13">
        <f t="shared" si="10"/>
        <v>0.34517651105219355</v>
      </c>
      <c r="T17" s="13">
        <f t="shared" si="11"/>
        <v>0.75355405010279419</v>
      </c>
      <c r="U17" s="12">
        <f>L17/$G$25^2</f>
        <v>2.0205360207036334</v>
      </c>
      <c r="V17" s="12">
        <f t="shared" si="13"/>
        <v>0.30864197530864196</v>
      </c>
      <c r="W17" s="11">
        <f>$G$28*U17*$G$27/1000</f>
        <v>431.44531042904663</v>
      </c>
      <c r="X17" s="11">
        <f t="shared" si="22"/>
        <v>1448.2038270592172</v>
      </c>
      <c r="Y17" s="12">
        <f t="shared" si="23"/>
        <v>0.85092392163286112</v>
      </c>
      <c r="Z17" s="35" t="str">
        <f>IF(D17&lt;$M$24, "Nej", "Ja")</f>
        <v>Nej</v>
      </c>
      <c r="AA17" s="10" t="str">
        <f>IF(AND(Y17&lt;1,D17&gt;$M$24), "Nej", "Ja")</f>
        <v>Ja</v>
      </c>
    </row>
    <row r="18" spans="1:28" x14ac:dyDescent="0.25">
      <c r="A18" s="10">
        <v>7</v>
      </c>
      <c r="B18" s="12">
        <f t="shared" ref="B18:B19" si="37">($B$23*$B$24^2)/(8*$B$27)*(1-((2*A18)/$B$24)^2)</f>
        <v>0.25777777777777766</v>
      </c>
      <c r="C18" s="12">
        <f t="shared" ref="C18:C19" si="38">ATAN((8*$B$25*A18)/$B$24^2)*180/PI()</f>
        <v>26.463101499062404</v>
      </c>
      <c r="D18" s="12">
        <f t="shared" si="25"/>
        <v>18.536898500937596</v>
      </c>
      <c r="E18" s="12">
        <f t="shared" si="17"/>
        <v>71.463101499062404</v>
      </c>
      <c r="F18" s="11">
        <f t="shared" si="2"/>
        <v>1863.28125</v>
      </c>
      <c r="G18" s="10">
        <f t="shared" ref="G18:G19" si="39">($B$23*A18)</f>
        <v>927.5</v>
      </c>
      <c r="H18" s="11">
        <f t="shared" si="18"/>
        <v>2081.3633192216976</v>
      </c>
      <c r="I18" s="27">
        <f t="shared" ref="I18:I19" si="40">H18/$H$23</f>
        <v>693.78777307389919</v>
      </c>
      <c r="J18" s="11">
        <f t="shared" si="19"/>
        <v>1973.3803466832694</v>
      </c>
      <c r="K18" s="11">
        <f t="shared" si="20"/>
        <v>661.69726758222396</v>
      </c>
      <c r="L18" s="12">
        <f t="shared" si="24"/>
        <v>6.5465367070797722</v>
      </c>
      <c r="M18" s="11">
        <f t="shared" ref="M18:M19" si="41">$G$32*L18*1000</f>
        <v>650.72574868372931</v>
      </c>
      <c r="N18" s="11">
        <f t="shared" ref="N18:N19" si="42">COS(D18*PI()/180)*$G$32*1000*L18</f>
        <v>616.96552047117552</v>
      </c>
      <c r="O18" s="11">
        <f t="shared" ref="O18:O19" si="43">-SIN(D18*PI()/180)*$G$32*1000*L18</f>
        <v>-206.87567897104694</v>
      </c>
      <c r="P18" s="11">
        <f t="shared" si="21"/>
        <v>1766.5046677122225</v>
      </c>
      <c r="Q18" s="11">
        <f t="shared" si="8"/>
        <v>1278.6627880533995</v>
      </c>
      <c r="R18" s="13">
        <f t="shared" si="9"/>
        <v>0.94811911426458351</v>
      </c>
      <c r="S18" s="13">
        <f t="shared" si="10"/>
        <v>0.31791531131126988</v>
      </c>
      <c r="T18" s="13">
        <f t="shared" si="11"/>
        <v>0.75355405010279419</v>
      </c>
      <c r="U18" s="12">
        <f t="shared" ref="U18:U19" si="44">L18/$G$25^2</f>
        <v>2.0205360207036334</v>
      </c>
      <c r="V18" s="12">
        <f t="shared" si="13"/>
        <v>0.30864197530864196</v>
      </c>
      <c r="W18" s="11">
        <f t="shared" ref="W18:W19" si="45">$G$28*U18*$G$27/1000</f>
        <v>431.44531042904663</v>
      </c>
      <c r="X18" s="11">
        <f t="shared" si="22"/>
        <v>1408.954577243514</v>
      </c>
      <c r="Y18" s="12">
        <f t="shared" si="23"/>
        <v>0.7975945962646297</v>
      </c>
      <c r="Z18" s="35" t="str">
        <f t="shared" ref="Z18:Z19" si="46">IF(D18&lt;$M$24, "Nej", "Ja")</f>
        <v>Nej</v>
      </c>
      <c r="AA18" s="10" t="str">
        <f t="shared" ref="AA18:AA19" si="47">IF(AND(Y18&lt;1,D18&gt;$M$24), "Nej", "Ja")</f>
        <v>Ja</v>
      </c>
    </row>
    <row r="19" spans="1:28" ht="15.75" thickBot="1" x14ac:dyDescent="0.3">
      <c r="A19" s="36">
        <v>7.5</v>
      </c>
      <c r="B19" s="17">
        <f t="shared" si="37"/>
        <v>0</v>
      </c>
      <c r="C19" s="17">
        <f t="shared" si="38"/>
        <v>28.072486935852954</v>
      </c>
      <c r="D19" s="17">
        <f t="shared" si="25"/>
        <v>16.927513064147046</v>
      </c>
      <c r="E19" s="17">
        <f t="shared" si="17"/>
        <v>73.07248693585295</v>
      </c>
      <c r="F19" s="18">
        <f t="shared" si="2"/>
        <v>1863.28125</v>
      </c>
      <c r="G19" s="16">
        <f t="shared" si="39"/>
        <v>993.75</v>
      </c>
      <c r="H19" s="18">
        <f t="shared" si="18"/>
        <v>2111.71875</v>
      </c>
      <c r="I19" s="37">
        <f t="shared" si="40"/>
        <v>703.90625</v>
      </c>
      <c r="J19" s="18">
        <f t="shared" si="19"/>
        <v>2020.2261709368784</v>
      </c>
      <c r="K19" s="18">
        <f t="shared" si="20"/>
        <v>614.85144332861535</v>
      </c>
      <c r="L19" s="17">
        <f>IF($H$23/TAN(D19*PI()/180)&gt;$M$23,$M$23,$H$23/TAN(D19*PI()/180))</f>
        <v>6.5465367070797722</v>
      </c>
      <c r="M19" s="18">
        <f t="shared" si="41"/>
        <v>650.72574868372931</v>
      </c>
      <c r="N19" s="18">
        <f t="shared" si="42"/>
        <v>622.53232708823748</v>
      </c>
      <c r="O19" s="18">
        <f t="shared" si="43"/>
        <v>-189.46636041815924</v>
      </c>
      <c r="P19" s="18">
        <f t="shared" si="21"/>
        <v>1830.7598105187192</v>
      </c>
      <c r="Q19" s="18">
        <f t="shared" si="8"/>
        <v>1237.3837704168527</v>
      </c>
      <c r="R19" s="38">
        <f t="shared" si="9"/>
        <v>0.95667388042885837</v>
      </c>
      <c r="S19" s="38">
        <f t="shared" si="10"/>
        <v>0.29116161578269611</v>
      </c>
      <c r="T19" s="38">
        <f t="shared" si="11"/>
        <v>0.75355405010279419</v>
      </c>
      <c r="U19" s="17">
        <f t="shared" si="44"/>
        <v>2.0205360207036334</v>
      </c>
      <c r="V19" s="17">
        <f t="shared" si="13"/>
        <v>0.30864197530864196</v>
      </c>
      <c r="W19" s="18">
        <f t="shared" si="45"/>
        <v>431.44531042904663</v>
      </c>
      <c r="X19" s="18">
        <f t="shared" si="22"/>
        <v>1369.0871528466939</v>
      </c>
      <c r="Y19" s="17">
        <f t="shared" si="23"/>
        <v>0.74782456168227929</v>
      </c>
      <c r="Z19" s="39" t="str">
        <f t="shared" si="46"/>
        <v>Nej</v>
      </c>
      <c r="AA19" s="16" t="str">
        <f t="shared" si="47"/>
        <v>Ja</v>
      </c>
    </row>
    <row r="20" spans="1:28" x14ac:dyDescent="0.25">
      <c r="A20" t="s">
        <v>52</v>
      </c>
      <c r="G20" s="19"/>
      <c r="H20" s="20"/>
      <c r="I20" s="28"/>
      <c r="J20" s="45">
        <f>M24</f>
        <v>24.6199773286571</v>
      </c>
      <c r="K20" s="44" t="s">
        <v>54</v>
      </c>
      <c r="L20" s="30"/>
      <c r="M20" s="29"/>
      <c r="N20" s="29"/>
      <c r="O20" s="29"/>
      <c r="P20" s="29"/>
      <c r="Q20" s="29"/>
      <c r="R20" s="31"/>
      <c r="S20" s="31"/>
      <c r="T20" s="31"/>
      <c r="U20" s="30"/>
      <c r="V20" s="30"/>
      <c r="W20" s="29"/>
      <c r="X20" s="29"/>
      <c r="Y20" s="32"/>
    </row>
    <row r="21" spans="1:28" x14ac:dyDescent="0.25">
      <c r="A21" t="s">
        <v>55</v>
      </c>
      <c r="F21" s="40">
        <f>M23</f>
        <v>6.5465367070797722</v>
      </c>
      <c r="G21" s="25" t="s">
        <v>0</v>
      </c>
      <c r="H21" s="20"/>
      <c r="I21" s="41"/>
      <c r="J21" s="20"/>
      <c r="K21" s="20"/>
      <c r="L21" s="21"/>
      <c r="M21" s="20"/>
      <c r="N21" s="20"/>
      <c r="O21" s="20"/>
      <c r="P21" s="20"/>
      <c r="Q21" s="20"/>
      <c r="R21" s="22"/>
      <c r="S21" s="22"/>
      <c r="T21" s="22"/>
      <c r="U21" s="21"/>
      <c r="V21" s="21"/>
      <c r="W21" s="20"/>
      <c r="X21" s="20"/>
      <c r="Y21" s="22"/>
    </row>
    <row r="22" spans="1:28" x14ac:dyDescent="0.25">
      <c r="A22" s="19"/>
      <c r="B22" s="21"/>
      <c r="C22" s="21"/>
      <c r="D22" s="21"/>
      <c r="E22" s="21"/>
      <c r="F22" s="20"/>
      <c r="G22" s="19"/>
      <c r="H22" s="20"/>
      <c r="I22" s="41"/>
      <c r="J22" s="20"/>
      <c r="K22" s="20"/>
      <c r="L22" s="21"/>
      <c r="M22" s="20"/>
      <c r="N22" s="20"/>
      <c r="O22" s="20"/>
      <c r="P22" s="20"/>
      <c r="Q22" s="20"/>
      <c r="R22" s="22"/>
      <c r="S22" s="22"/>
      <c r="T22" s="22"/>
      <c r="U22" s="21"/>
      <c r="V22" s="21"/>
      <c r="W22" s="20"/>
      <c r="X22" s="20"/>
      <c r="Y22" s="22"/>
      <c r="AA22" s="23"/>
      <c r="AB22" s="23"/>
    </row>
    <row r="23" spans="1:28" ht="18" x14ac:dyDescent="0.35">
      <c r="A23" t="s">
        <v>29</v>
      </c>
      <c r="B23" s="1">
        <f>5*26.5</f>
        <v>132.5</v>
      </c>
      <c r="C23" t="s">
        <v>1</v>
      </c>
      <c r="D23" t="s">
        <v>30</v>
      </c>
      <c r="H23">
        <v>3</v>
      </c>
      <c r="I23" s="43"/>
      <c r="J23" t="s">
        <v>0</v>
      </c>
      <c r="L23" t="s">
        <v>31</v>
      </c>
      <c r="M23" s="40">
        <f>H23/TAN(M24*PI()/180)</f>
        <v>6.5465367070797722</v>
      </c>
      <c r="N23" t="s">
        <v>0</v>
      </c>
      <c r="O23" s="20"/>
      <c r="P23" s="20"/>
      <c r="Q23" s="20"/>
      <c r="R23" s="22"/>
      <c r="S23" s="22"/>
      <c r="T23" s="22"/>
      <c r="U23" s="21"/>
      <c r="V23" s="21"/>
      <c r="W23" s="20"/>
      <c r="X23" s="20"/>
      <c r="Y23" s="22"/>
      <c r="Z23" s="1"/>
      <c r="AA23" s="1"/>
    </row>
    <row r="24" spans="1:28" ht="18" x14ac:dyDescent="0.35">
      <c r="A24" t="s">
        <v>32</v>
      </c>
      <c r="B24">
        <v>15</v>
      </c>
      <c r="C24" t="s">
        <v>0</v>
      </c>
      <c r="I24" s="43"/>
      <c r="L24" s="24" t="s">
        <v>51</v>
      </c>
      <c r="M24" s="1">
        <f>ACOS(G31/(G31+H23*0.5))*180/PI()</f>
        <v>24.6199773286571</v>
      </c>
      <c r="N24" s="24" t="s">
        <v>35</v>
      </c>
      <c r="O24" s="20"/>
      <c r="P24" s="20"/>
      <c r="Q24" s="20"/>
      <c r="R24" s="22"/>
      <c r="S24" s="22"/>
      <c r="T24" s="22"/>
      <c r="U24" s="21"/>
      <c r="V24" s="21"/>
      <c r="W24" s="20"/>
      <c r="X24" s="20"/>
      <c r="Y24" s="22"/>
    </row>
    <row r="25" spans="1:28" x14ac:dyDescent="0.25">
      <c r="A25" t="s">
        <v>33</v>
      </c>
      <c r="B25">
        <v>2</v>
      </c>
      <c r="C25" t="s">
        <v>0</v>
      </c>
      <c r="D25" t="s">
        <v>34</v>
      </c>
      <c r="G25">
        <v>1.8</v>
      </c>
      <c r="H25" t="s">
        <v>0</v>
      </c>
      <c r="L25" s="24"/>
      <c r="M25" s="1"/>
      <c r="N25" s="24"/>
    </row>
    <row r="27" spans="1:28" x14ac:dyDescent="0.25">
      <c r="A27" t="s">
        <v>36</v>
      </c>
      <c r="B27" s="1">
        <f>(B23*B24^2)/(8*B25)</f>
        <v>1863.28125</v>
      </c>
      <c r="C27" t="s">
        <v>37</v>
      </c>
      <c r="D27" t="s">
        <v>38</v>
      </c>
      <c r="G27">
        <v>435</v>
      </c>
      <c r="H27" t="s">
        <v>2</v>
      </c>
    </row>
    <row r="28" spans="1:28" x14ac:dyDescent="0.25">
      <c r="A28" t="s">
        <v>39</v>
      </c>
      <c r="B28" s="1">
        <f>B24*B23/2</f>
        <v>993.75</v>
      </c>
      <c r="C28" t="s">
        <v>37</v>
      </c>
      <c r="D28" s="24" t="s">
        <v>40</v>
      </c>
      <c r="G28" s="1">
        <f>25^2*PI()/4</f>
        <v>490.87385212340519</v>
      </c>
      <c r="H28" t="s">
        <v>41</v>
      </c>
    </row>
    <row r="29" spans="1:28" x14ac:dyDescent="0.25">
      <c r="A29" t="s">
        <v>42</v>
      </c>
      <c r="B29" s="1">
        <f>(B27^2+B28^2)^0.5</f>
        <v>2111.71875</v>
      </c>
      <c r="C29" t="s">
        <v>37</v>
      </c>
      <c r="D29" t="s">
        <v>43</v>
      </c>
      <c r="G29">
        <v>21.3</v>
      </c>
      <c r="H29" t="s">
        <v>2</v>
      </c>
    </row>
    <row r="30" spans="1:28" x14ac:dyDescent="0.25">
      <c r="D30" t="s">
        <v>44</v>
      </c>
      <c r="G30">
        <v>7.0000000000000007E-2</v>
      </c>
      <c r="H30" t="s">
        <v>3</v>
      </c>
    </row>
    <row r="31" spans="1:28" ht="17.25" x14ac:dyDescent="0.25">
      <c r="A31" t="s">
        <v>45</v>
      </c>
      <c r="B31">
        <v>45</v>
      </c>
      <c r="C31" t="s">
        <v>46</v>
      </c>
      <c r="D31" t="s">
        <v>47</v>
      </c>
      <c r="G31">
        <v>15</v>
      </c>
      <c r="H31" t="s">
        <v>0</v>
      </c>
    </row>
    <row r="32" spans="1:28" ht="18.75" x14ac:dyDescent="0.35">
      <c r="A32" s="24" t="s">
        <v>48</v>
      </c>
      <c r="B32">
        <v>37</v>
      </c>
      <c r="C32" t="s">
        <v>46</v>
      </c>
      <c r="D32" s="25" t="s">
        <v>49</v>
      </c>
      <c r="G32" s="2">
        <f>(G29*G30)/G31</f>
        <v>9.9400000000000002E-2</v>
      </c>
      <c r="H32" t="s">
        <v>2</v>
      </c>
    </row>
  </sheetData>
  <pageMargins left="0.7" right="0.7" top="0.75" bottom="0.75" header="0.3" footer="0.3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32"/>
  <sheetViews>
    <sheetView zoomScaleNormal="100" workbookViewId="0"/>
  </sheetViews>
  <sheetFormatPr defaultRowHeight="15" x14ac:dyDescent="0.25"/>
  <cols>
    <col min="3" max="3" width="15.28515625" customWidth="1"/>
    <col min="6" max="6" width="9.28515625" customWidth="1"/>
    <col min="9" max="9" width="9.28515625" customWidth="1"/>
    <col min="18" max="20" width="0" hidden="1" customWidth="1"/>
    <col min="22" max="22" width="0" hidden="1" customWidth="1"/>
    <col min="25" max="25" width="15.28515625" customWidth="1"/>
  </cols>
  <sheetData>
    <row r="1" spans="1:27" ht="18.75" x14ac:dyDescent="0.3">
      <c r="A1" s="46" t="s">
        <v>60</v>
      </c>
    </row>
    <row r="2" spans="1:27" ht="24" thickBot="1" x14ac:dyDescent="0.4">
      <c r="A2" s="3"/>
    </row>
    <row r="3" spans="1:27" ht="49.5" thickBot="1" x14ac:dyDescent="0.4">
      <c r="A3" s="4" t="s">
        <v>4</v>
      </c>
      <c r="B3" s="4" t="s">
        <v>5</v>
      </c>
      <c r="C3" s="5" t="s">
        <v>53</v>
      </c>
      <c r="D3" s="6" t="s">
        <v>6</v>
      </c>
      <c r="E3" s="6" t="s">
        <v>50</v>
      </c>
      <c r="F3" s="4" t="s">
        <v>7</v>
      </c>
      <c r="G3" s="4" t="s">
        <v>8</v>
      </c>
      <c r="H3" s="4" t="s">
        <v>9</v>
      </c>
      <c r="I3" s="26" t="s">
        <v>10</v>
      </c>
      <c r="J3" s="4" t="s">
        <v>11</v>
      </c>
      <c r="K3" s="4" t="s">
        <v>12</v>
      </c>
      <c r="L3" s="5" t="s">
        <v>13</v>
      </c>
      <c r="M3" s="5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4" t="s">
        <v>26</v>
      </c>
      <c r="Z3" s="5" t="s">
        <v>56</v>
      </c>
      <c r="AA3" s="5" t="s">
        <v>27</v>
      </c>
    </row>
    <row r="4" spans="1:27" x14ac:dyDescent="0.25">
      <c r="A4" s="7" t="s">
        <v>28</v>
      </c>
      <c r="B4" s="8">
        <f t="shared" ref="B4:B13" si="0">($B$23*$B$24^2)/(8*$B$27)*(1-((2*A4)/$B$24)^2)</f>
        <v>2</v>
      </c>
      <c r="C4" s="8">
        <f t="shared" ref="C4:C13" si="1">ATAN((8*$B$25*A4)/$B$24^2)*180/PI()</f>
        <v>0</v>
      </c>
      <c r="D4" s="8">
        <f>ABS(C4-$B$31)</f>
        <v>60</v>
      </c>
      <c r="E4" s="8">
        <f>180-(D4+90)</f>
        <v>30</v>
      </c>
      <c r="F4" s="9">
        <f t="shared" ref="F4:F19" si="2">$B$27</f>
        <v>1863.28125</v>
      </c>
      <c r="G4" s="14">
        <f t="shared" ref="G4:G13" si="3">($B$23*A4)</f>
        <v>0</v>
      </c>
      <c r="H4" s="9">
        <f>(F4^2+G4^2)^0.5</f>
        <v>1863.28125</v>
      </c>
      <c r="I4" s="33">
        <f t="shared" ref="I4:I13" si="4">H4/$H$23</f>
        <v>621.09375</v>
      </c>
      <c r="J4" s="9">
        <f>SIN((90-D4)*PI()/180)*H4</f>
        <v>931.64062499999989</v>
      </c>
      <c r="K4" s="9">
        <f>COS((90-D4)*PI()/180)*H4</f>
        <v>1613.6488968952237</v>
      </c>
      <c r="L4" s="8">
        <f>IF($H$23/TAN(D4*PI()/180)&gt;$M$23,$M$23,$H$23/TAN(D4*PI()/180))</f>
        <v>1.7320508075688779</v>
      </c>
      <c r="M4" s="9">
        <f t="shared" ref="M4:M13" si="5">$G$32*L4*1000</f>
        <v>196.76097173982456</v>
      </c>
      <c r="N4" s="9">
        <f t="shared" ref="N4:N13" si="6">COS(D4*PI()/180)*$G$32*1000*L4</f>
        <v>98.380485869912292</v>
      </c>
      <c r="O4" s="9">
        <f t="shared" ref="O4:O13" si="7">-SIN(D4*PI()/180)*$G$32*1000*L4</f>
        <v>-170.40000000000006</v>
      </c>
      <c r="P4" s="9">
        <f>J4+O4</f>
        <v>761.2406249999998</v>
      </c>
      <c r="Q4" s="9">
        <f t="shared" ref="Q4:Q19" si="8">K4+N4</f>
        <v>1712.029382765136</v>
      </c>
      <c r="R4" s="34">
        <f t="shared" ref="R4:R19" si="9">SIN(E4*PI()/180)</f>
        <v>0.49999999999999994</v>
      </c>
      <c r="S4" s="34">
        <f t="shared" ref="S4:S19" si="10">COS(E4*PI()/180)</f>
        <v>0.86602540378443871</v>
      </c>
      <c r="T4" s="34">
        <f t="shared" ref="T4:T19" si="11">TAN($B$32*PI()/180)</f>
        <v>0.75355405010279419</v>
      </c>
      <c r="U4" s="8">
        <f t="shared" ref="U4:U13" si="12">L4/$G$25^2</f>
        <v>0.45086703653917065</v>
      </c>
      <c r="V4" s="8">
        <f t="shared" ref="V4:V19" si="13">U4/L4</f>
        <v>0.26030820491461892</v>
      </c>
      <c r="W4" s="9">
        <f t="shared" ref="W4:W13" si="14">$G$28*U4*$G$27/1000</f>
        <v>96.273694974329331</v>
      </c>
      <c r="X4" s="9">
        <f>((Q4+((R4+(S4/T4))*W4))*T4)</f>
        <v>1409.7558572247519</v>
      </c>
      <c r="Y4" s="8">
        <f>X4/P4</f>
        <v>1.85191884264552</v>
      </c>
      <c r="Z4" s="10" t="str">
        <f t="shared" ref="Z4:Z13" si="15">IF(D4&lt;$M$24, "Nej", "Ja")</f>
        <v>Ja</v>
      </c>
      <c r="AA4" s="10" t="str">
        <f t="shared" ref="AA4:AA13" si="16">IF(AND(Y4&lt;1,D4&gt;$M$24), "Nej", "Ja")</f>
        <v>Ja</v>
      </c>
    </row>
    <row r="5" spans="1:27" x14ac:dyDescent="0.25">
      <c r="A5" s="10">
        <v>0.5</v>
      </c>
      <c r="B5" s="12">
        <f t="shared" si="0"/>
        <v>1.9911111111111111</v>
      </c>
      <c r="C5" s="12">
        <f t="shared" si="1"/>
        <v>2.0363254547982761</v>
      </c>
      <c r="D5" s="12">
        <f>ABS(C5-$B$31)</f>
        <v>57.963674545201727</v>
      </c>
      <c r="E5" s="12">
        <f t="shared" ref="E5:E19" si="17">180-(D5+90)</f>
        <v>32.036325454798259</v>
      </c>
      <c r="F5" s="11">
        <f t="shared" si="2"/>
        <v>1863.28125</v>
      </c>
      <c r="G5" s="10">
        <f t="shared" si="3"/>
        <v>66.25</v>
      </c>
      <c r="H5" s="11">
        <f t="shared" ref="H5:H19" si="18">(F5^2+G5^2)^0.5</f>
        <v>1864.4586557769424</v>
      </c>
      <c r="I5" s="27">
        <f t="shared" si="4"/>
        <v>621.48621859231412</v>
      </c>
      <c r="J5" s="11">
        <f t="shared" ref="J5:J19" si="19">SIN((90-D5)*PI()/180)*H5</f>
        <v>989.01480800071897</v>
      </c>
      <c r="K5" s="11">
        <f t="shared" ref="K5:K19" si="20">COS((90-D5)*PI()/180)*H5</f>
        <v>1580.5238968952237</v>
      </c>
      <c r="L5" s="12">
        <f>IF($H$23/TAN(D5*PI()/180)&gt;$M$23,$M$23,$H$23/TAN(D5*PI()/180))</f>
        <v>1.8772537573336354</v>
      </c>
      <c r="M5" s="11">
        <f t="shared" si="5"/>
        <v>213.256026833101</v>
      </c>
      <c r="N5" s="11">
        <f t="shared" si="6"/>
        <v>113.12311366080974</v>
      </c>
      <c r="O5" s="11">
        <f t="shared" si="7"/>
        <v>-180.77968397008502</v>
      </c>
      <c r="P5" s="11">
        <f t="shared" ref="P5:P19" si="21">J5+O5</f>
        <v>808.23512403063398</v>
      </c>
      <c r="Q5" s="11">
        <f t="shared" si="8"/>
        <v>1693.6470105560334</v>
      </c>
      <c r="R5" s="13">
        <f t="shared" si="9"/>
        <v>0.53045681916104714</v>
      </c>
      <c r="S5" s="13">
        <f t="shared" si="10"/>
        <v>0.84771195756904605</v>
      </c>
      <c r="T5" s="13">
        <f t="shared" si="11"/>
        <v>0.75355405010279419</v>
      </c>
      <c r="U5" s="12">
        <f t="shared" si="12"/>
        <v>0.4886645557407423</v>
      </c>
      <c r="V5" s="12">
        <f t="shared" si="13"/>
        <v>0.26030820491461892</v>
      </c>
      <c r="W5" s="11">
        <f t="shared" si="14"/>
        <v>104.34460399959433</v>
      </c>
      <c r="X5" s="11">
        <f t="shared" ref="X5:X19" si="22">((Q5+((R5+(S5/T5))*W5))*T5)</f>
        <v>1406.4181805812732</v>
      </c>
      <c r="Y5" s="12">
        <f t="shared" ref="Y5:Y19" si="23">X5/P5</f>
        <v>1.7401101966065591</v>
      </c>
      <c r="Z5" s="10" t="str">
        <f t="shared" si="15"/>
        <v>Ja</v>
      </c>
      <c r="AA5" s="10" t="str">
        <f t="shared" si="16"/>
        <v>Ja</v>
      </c>
    </row>
    <row r="6" spans="1:27" x14ac:dyDescent="0.25">
      <c r="A6" s="15">
        <v>1</v>
      </c>
      <c r="B6" s="12">
        <f t="shared" si="0"/>
        <v>1.9644444444444444</v>
      </c>
      <c r="C6" s="12">
        <f t="shared" si="1"/>
        <v>4.067519566580148</v>
      </c>
      <c r="D6" s="12">
        <f>ABS(C6-$B$31)</f>
        <v>55.932480433419855</v>
      </c>
      <c r="E6" s="12">
        <f t="shared" si="17"/>
        <v>34.067519566580131</v>
      </c>
      <c r="F6" s="11">
        <f t="shared" si="2"/>
        <v>1863.28125</v>
      </c>
      <c r="G6" s="10">
        <f t="shared" si="3"/>
        <v>132.5</v>
      </c>
      <c r="H6" s="11">
        <f t="shared" si="18"/>
        <v>1867.9864203472043</v>
      </c>
      <c r="I6" s="27">
        <f t="shared" si="4"/>
        <v>622.66214011573481</v>
      </c>
      <c r="J6" s="11">
        <f t="shared" si="19"/>
        <v>1046.3889910014382</v>
      </c>
      <c r="K6" s="11">
        <f t="shared" si="20"/>
        <v>1547.3988968952235</v>
      </c>
      <c r="L6" s="12">
        <f t="shared" ref="L6:L18" si="24">IF($H$23/TAN(D6*PI()/180)&gt;$M$23,$M$23,$H$23/TAN(D6*PI()/180))</f>
        <v>2.0286733946255824</v>
      </c>
      <c r="M6" s="11">
        <f t="shared" si="5"/>
        <v>230.45729762946618</v>
      </c>
      <c r="N6" s="11">
        <f t="shared" si="6"/>
        <v>129.095145718775</v>
      </c>
      <c r="O6" s="11">
        <f t="shared" si="7"/>
        <v>-190.90576047496475</v>
      </c>
      <c r="P6" s="11">
        <f>J6+O6</f>
        <v>855.48323052647345</v>
      </c>
      <c r="Q6" s="11">
        <f t="shared" si="8"/>
        <v>1676.4940426139985</v>
      </c>
      <c r="R6" s="13">
        <f t="shared" si="9"/>
        <v>0.56016948496175067</v>
      </c>
      <c r="S6" s="13">
        <f t="shared" si="10"/>
        <v>0.8283780224738504</v>
      </c>
      <c r="T6" s="13">
        <f t="shared" si="11"/>
        <v>0.75355405010279419</v>
      </c>
      <c r="U6" s="12">
        <f t="shared" si="12"/>
        <v>0.52808032971303165</v>
      </c>
      <c r="V6" s="12">
        <f t="shared" si="13"/>
        <v>0.26030820491461892</v>
      </c>
      <c r="W6" s="11">
        <f t="shared" si="14"/>
        <v>112.76105916942268</v>
      </c>
      <c r="X6" s="11">
        <f t="shared" si="22"/>
        <v>1404.3361299775493</v>
      </c>
      <c r="Y6" s="12">
        <f>X6/P6</f>
        <v>1.6415706116335045</v>
      </c>
      <c r="Z6" s="10" t="str">
        <f t="shared" si="15"/>
        <v>Ja</v>
      </c>
      <c r="AA6" s="10" t="str">
        <f t="shared" si="16"/>
        <v>Ja</v>
      </c>
    </row>
    <row r="7" spans="1:27" x14ac:dyDescent="0.25">
      <c r="A7" s="10">
        <v>1.5</v>
      </c>
      <c r="B7" s="12">
        <f t="shared" si="0"/>
        <v>1.92</v>
      </c>
      <c r="C7" s="12">
        <f t="shared" si="1"/>
        <v>6.088528154195175</v>
      </c>
      <c r="D7" s="12">
        <f>ABS(C7-$B$31)</f>
        <v>53.911471845804826</v>
      </c>
      <c r="E7" s="12">
        <f t="shared" si="17"/>
        <v>36.08852815419516</v>
      </c>
      <c r="F7" s="11">
        <f t="shared" si="2"/>
        <v>1863.28125</v>
      </c>
      <c r="G7" s="10">
        <f t="shared" si="3"/>
        <v>198.75</v>
      </c>
      <c r="H7" s="11">
        <f t="shared" si="18"/>
        <v>1873.8512692050995</v>
      </c>
      <c r="I7" s="27">
        <f t="shared" si="4"/>
        <v>624.61708973503312</v>
      </c>
      <c r="J7" s="11">
        <f t="shared" si="19"/>
        <v>1103.763174002157</v>
      </c>
      <c r="K7" s="11">
        <f t="shared" si="20"/>
        <v>1514.2738968952235</v>
      </c>
      <c r="L7" s="12">
        <f t="shared" si="24"/>
        <v>2.1867176927474885</v>
      </c>
      <c r="M7" s="11">
        <f t="shared" si="5"/>
        <v>248.41112989611472</v>
      </c>
      <c r="N7" s="11">
        <f t="shared" si="6"/>
        <v>146.32274273715959</v>
      </c>
      <c r="O7" s="11">
        <f t="shared" si="7"/>
        <v>-200.74298098349385</v>
      </c>
      <c r="P7" s="11">
        <f t="shared" si="21"/>
        <v>903.02019301866312</v>
      </c>
      <c r="Q7" s="11">
        <f t="shared" si="8"/>
        <v>1660.5966396323831</v>
      </c>
      <c r="R7" s="13">
        <f t="shared" si="9"/>
        <v>0.5890345686135382</v>
      </c>
      <c r="S7" s="13">
        <f t="shared" si="10"/>
        <v>0.80810783746865311</v>
      </c>
      <c r="T7" s="13">
        <f t="shared" si="11"/>
        <v>0.75355405010279419</v>
      </c>
      <c r="U7" s="12">
        <f t="shared" si="12"/>
        <v>0.56922055725413601</v>
      </c>
      <c r="V7" s="12">
        <f t="shared" si="13"/>
        <v>0.26030820491461898</v>
      </c>
      <c r="W7" s="11">
        <f t="shared" si="14"/>
        <v>121.54573712651855</v>
      </c>
      <c r="X7" s="11">
        <f t="shared" si="22"/>
        <v>1403.5218177318864</v>
      </c>
      <c r="Y7" s="12">
        <f t="shared" si="23"/>
        <v>1.5542529708445614</v>
      </c>
      <c r="Z7" s="10" t="str">
        <f t="shared" si="15"/>
        <v>Ja</v>
      </c>
      <c r="AA7" s="10" t="str">
        <f t="shared" si="16"/>
        <v>Ja</v>
      </c>
    </row>
    <row r="8" spans="1:27" x14ac:dyDescent="0.25">
      <c r="A8" s="10">
        <v>2</v>
      </c>
      <c r="B8" s="12">
        <f t="shared" si="0"/>
        <v>1.8577777777777778</v>
      </c>
      <c r="C8" s="12">
        <f t="shared" si="1"/>
        <v>8.0944484822720035</v>
      </c>
      <c r="D8" s="12">
        <f t="shared" ref="D8:D19" si="25">ABS(C8-$B$31)</f>
        <v>51.905551517728</v>
      </c>
      <c r="E8" s="12">
        <f t="shared" si="17"/>
        <v>38.094448482272014</v>
      </c>
      <c r="F8" s="11">
        <f t="shared" si="2"/>
        <v>1863.28125</v>
      </c>
      <c r="G8" s="10">
        <f t="shared" si="3"/>
        <v>265</v>
      </c>
      <c r="H8" s="11">
        <f t="shared" si="18"/>
        <v>1882.0313537774982</v>
      </c>
      <c r="I8" s="27">
        <f t="shared" si="4"/>
        <v>627.34378459249945</v>
      </c>
      <c r="J8" s="11">
        <f t="shared" si="19"/>
        <v>1161.1373570028761</v>
      </c>
      <c r="K8" s="11">
        <f t="shared" si="20"/>
        <v>1481.1488968952237</v>
      </c>
      <c r="L8" s="12">
        <f t="shared" si="24"/>
        <v>2.3518311213076135</v>
      </c>
      <c r="M8" s="11">
        <f t="shared" si="5"/>
        <v>267.16801538054489</v>
      </c>
      <c r="N8" s="11">
        <f t="shared" si="6"/>
        <v>164.83187840203487</v>
      </c>
      <c r="O8" s="11">
        <f t="shared" si="7"/>
        <v>-210.25983997148828</v>
      </c>
      <c r="P8" s="11">
        <f t="shared" si="21"/>
        <v>950.87751703138781</v>
      </c>
      <c r="Q8" s="11">
        <f t="shared" si="8"/>
        <v>1645.9807752972586</v>
      </c>
      <c r="R8" s="13">
        <f t="shared" si="9"/>
        <v>0.61695962432948448</v>
      </c>
      <c r="S8" s="13">
        <f t="shared" si="10"/>
        <v>0.78699480426952084</v>
      </c>
      <c r="T8" s="13">
        <f t="shared" si="11"/>
        <v>0.75355405010279419</v>
      </c>
      <c r="U8" s="12">
        <f t="shared" si="12"/>
        <v>0.61220093744992032</v>
      </c>
      <c r="V8" s="12">
        <f t="shared" si="13"/>
        <v>0.26030820491461898</v>
      </c>
      <c r="W8" s="11">
        <f t="shared" si="14"/>
        <v>130.72334311122697</v>
      </c>
      <c r="X8" s="11">
        <f t="shared" si="22"/>
        <v>1403.9889777170843</v>
      </c>
      <c r="Y8" s="12">
        <f t="shared" si="23"/>
        <v>1.4765192704316927</v>
      </c>
      <c r="Z8" s="35" t="str">
        <f t="shared" si="15"/>
        <v>Ja</v>
      </c>
      <c r="AA8" s="10" t="str">
        <f t="shared" si="16"/>
        <v>Ja</v>
      </c>
    </row>
    <row r="9" spans="1:27" x14ac:dyDescent="0.25">
      <c r="A9" s="15">
        <v>2.5</v>
      </c>
      <c r="B9" s="12">
        <f t="shared" si="0"/>
        <v>1.7777777777777777</v>
      </c>
      <c r="C9" s="12">
        <f t="shared" si="1"/>
        <v>10.080597987542321</v>
      </c>
      <c r="D9" s="12">
        <f t="shared" si="25"/>
        <v>49.919402012457681</v>
      </c>
      <c r="E9" s="12">
        <f t="shared" si="17"/>
        <v>40.080597987542319</v>
      </c>
      <c r="F9" s="11">
        <f t="shared" si="2"/>
        <v>1863.28125</v>
      </c>
      <c r="G9" s="10">
        <f t="shared" si="3"/>
        <v>331.25</v>
      </c>
      <c r="H9" s="11">
        <f t="shared" si="18"/>
        <v>1892.4966523356291</v>
      </c>
      <c r="I9" s="27">
        <f t="shared" si="4"/>
        <v>630.83221744520972</v>
      </c>
      <c r="J9" s="11">
        <f t="shared" si="19"/>
        <v>1218.5115400035952</v>
      </c>
      <c r="K9" s="11">
        <f t="shared" si="20"/>
        <v>1448.0238968952237</v>
      </c>
      <c r="L9" s="12">
        <f t="shared" si="24"/>
        <v>2.5244988206678012</v>
      </c>
      <c r="M9" s="11">
        <f t="shared" si="5"/>
        <v>286.78306602786222</v>
      </c>
      <c r="N9" s="11">
        <f t="shared" si="6"/>
        <v>184.64945499443317</v>
      </c>
      <c r="O9" s="11">
        <f t="shared" si="7"/>
        <v>-219.42904486553275</v>
      </c>
      <c r="P9" s="11">
        <f t="shared" si="21"/>
        <v>999.08249513806243</v>
      </c>
      <c r="Q9" s="11">
        <f t="shared" si="8"/>
        <v>1632.6733518896569</v>
      </c>
      <c r="R9" s="13">
        <f t="shared" si="9"/>
        <v>0.64386456826740823</v>
      </c>
      <c r="S9" s="13">
        <f t="shared" si="10"/>
        <v>0.76513947599756216</v>
      </c>
      <c r="T9" s="13">
        <f t="shared" si="11"/>
        <v>0.75355405010279419</v>
      </c>
      <c r="U9" s="12">
        <f t="shared" si="12"/>
        <v>0.65714775631710787</v>
      </c>
      <c r="V9" s="12">
        <f t="shared" si="13"/>
        <v>0.26030820491461892</v>
      </c>
      <c r="W9" s="11">
        <f t="shared" si="14"/>
        <v>140.32084299256974</v>
      </c>
      <c r="X9" s="11">
        <f t="shared" si="22"/>
        <v>1405.7544472990405</v>
      </c>
      <c r="Y9" s="12">
        <f t="shared" si="23"/>
        <v>1.4070454183113081</v>
      </c>
      <c r="Z9" s="35" t="str">
        <f t="shared" si="15"/>
        <v>Ja</v>
      </c>
      <c r="AA9" s="10" t="str">
        <f t="shared" si="16"/>
        <v>Ja</v>
      </c>
    </row>
    <row r="10" spans="1:27" x14ac:dyDescent="0.25">
      <c r="A10" s="10">
        <v>3</v>
      </c>
      <c r="B10" s="12">
        <f t="shared" si="0"/>
        <v>1.68</v>
      </c>
      <c r="C10" s="12">
        <f t="shared" si="1"/>
        <v>12.042575142884985</v>
      </c>
      <c r="D10" s="12">
        <f t="shared" si="25"/>
        <v>47.957424857115015</v>
      </c>
      <c r="E10" s="12">
        <f t="shared" si="17"/>
        <v>42.042575142884971</v>
      </c>
      <c r="F10" s="11">
        <f t="shared" si="2"/>
        <v>1863.28125</v>
      </c>
      <c r="G10" s="10">
        <f t="shared" si="3"/>
        <v>397.5</v>
      </c>
      <c r="H10" s="11">
        <f t="shared" si="18"/>
        <v>1905.2095072725106</v>
      </c>
      <c r="I10" s="27">
        <f t="shared" si="4"/>
        <v>635.06983575750348</v>
      </c>
      <c r="J10" s="11">
        <f t="shared" si="19"/>
        <v>1275.8857230043145</v>
      </c>
      <c r="K10" s="11">
        <f t="shared" si="20"/>
        <v>1414.8988968952233</v>
      </c>
      <c r="L10" s="12">
        <f t="shared" si="24"/>
        <v>2.7052513627737955</v>
      </c>
      <c r="M10" s="11">
        <f t="shared" si="5"/>
        <v>307.31655481110323</v>
      </c>
      <c r="N10" s="11">
        <f t="shared" si="6"/>
        <v>205.80456019647372</v>
      </c>
      <c r="O10" s="11">
        <f t="shared" si="7"/>
        <v>-228.22784199852092</v>
      </c>
      <c r="P10" s="11">
        <f t="shared" si="21"/>
        <v>1047.6578810057936</v>
      </c>
      <c r="Q10" s="11">
        <f t="shared" si="8"/>
        <v>1620.7034570916969</v>
      </c>
      <c r="R10" s="13">
        <f t="shared" si="9"/>
        <v>0.6696826349721855</v>
      </c>
      <c r="S10" s="13">
        <f t="shared" si="10"/>
        <v>0.74264740517739003</v>
      </c>
      <c r="T10" s="13">
        <f t="shared" si="11"/>
        <v>0.75355405010279419</v>
      </c>
      <c r="U10" s="12">
        <f t="shared" si="12"/>
        <v>0.70419912608647328</v>
      </c>
      <c r="V10" s="12">
        <f t="shared" si="13"/>
        <v>0.26030820491461892</v>
      </c>
      <c r="W10" s="11">
        <f t="shared" si="14"/>
        <v>150.36772789254115</v>
      </c>
      <c r="X10" s="11">
        <f t="shared" si="22"/>
        <v>1408.8397372907821</v>
      </c>
      <c r="Y10" s="12">
        <f t="shared" si="23"/>
        <v>1.344751719844115</v>
      </c>
      <c r="Z10" s="35" t="str">
        <f t="shared" si="15"/>
        <v>Ja</v>
      </c>
      <c r="AA10" s="10" t="str">
        <f t="shared" si="16"/>
        <v>Ja</v>
      </c>
    </row>
    <row r="11" spans="1:27" x14ac:dyDescent="0.25">
      <c r="A11" s="10">
        <v>3.5</v>
      </c>
      <c r="B11" s="12">
        <f t="shared" si="0"/>
        <v>1.5644444444444443</v>
      </c>
      <c r="C11" s="12">
        <f t="shared" si="1"/>
        <v>13.97631066602688</v>
      </c>
      <c r="D11" s="12">
        <f t="shared" si="25"/>
        <v>46.023689333973124</v>
      </c>
      <c r="E11" s="12">
        <f t="shared" si="17"/>
        <v>43.976310666026876</v>
      </c>
      <c r="F11" s="11">
        <f t="shared" si="2"/>
        <v>1863.28125</v>
      </c>
      <c r="G11" s="10">
        <f t="shared" si="3"/>
        <v>463.75</v>
      </c>
      <c r="H11" s="11">
        <f t="shared" si="18"/>
        <v>1920.1252769289722</v>
      </c>
      <c r="I11" s="27">
        <f t="shared" si="4"/>
        <v>640.0417589763241</v>
      </c>
      <c r="J11" s="11">
        <f t="shared" si="19"/>
        <v>1333.2599060050334</v>
      </c>
      <c r="K11" s="11">
        <f t="shared" si="20"/>
        <v>1381.7738968952235</v>
      </c>
      <c r="L11" s="12">
        <f t="shared" si="24"/>
        <v>2.8946701967683746</v>
      </c>
      <c r="M11" s="11">
        <f t="shared" si="5"/>
        <v>328.83453435288732</v>
      </c>
      <c r="N11" s="11">
        <f t="shared" si="6"/>
        <v>228.32984161520272</v>
      </c>
      <c r="O11" s="11">
        <f t="shared" si="7"/>
        <v>-236.63819305229808</v>
      </c>
      <c r="P11" s="11">
        <f t="shared" si="21"/>
        <v>1096.6217129527354</v>
      </c>
      <c r="Q11" s="11">
        <f t="shared" si="8"/>
        <v>1610.1037385104262</v>
      </c>
      <c r="R11" s="13">
        <f t="shared" si="9"/>
        <v>0.69436089510650834</v>
      </c>
      <c r="S11" s="13">
        <f t="shared" si="10"/>
        <v>0.71962695012547195</v>
      </c>
      <c r="T11" s="13">
        <f t="shared" si="11"/>
        <v>0.75355405010279419</v>
      </c>
      <c r="U11" s="12">
        <f t="shared" si="12"/>
        <v>0.75350640274062231</v>
      </c>
      <c r="V11" s="12">
        <f t="shared" si="13"/>
        <v>0.26030820491461892</v>
      </c>
      <c r="W11" s="11">
        <f t="shared" si="14"/>
        <v>160.89631687312857</v>
      </c>
      <c r="X11" s="11">
        <f t="shared" si="22"/>
        <v>1413.2726608611115</v>
      </c>
      <c r="Y11" s="12">
        <f t="shared" si="23"/>
        <v>1.2887513024484714</v>
      </c>
      <c r="Z11" s="35" t="str">
        <f t="shared" si="15"/>
        <v>Ja</v>
      </c>
      <c r="AA11" s="10" t="str">
        <f t="shared" si="16"/>
        <v>Ja</v>
      </c>
    </row>
    <row r="12" spans="1:27" x14ac:dyDescent="0.25">
      <c r="A12" s="15">
        <v>4</v>
      </c>
      <c r="B12" s="12">
        <f t="shared" si="0"/>
        <v>1.431111111111111</v>
      </c>
      <c r="C12" s="12">
        <f t="shared" si="1"/>
        <v>15.878107876058362</v>
      </c>
      <c r="D12" s="12">
        <f t="shared" si="25"/>
        <v>44.121892123941635</v>
      </c>
      <c r="E12" s="12">
        <f t="shared" si="17"/>
        <v>45.87810787605838</v>
      </c>
      <c r="F12" s="11">
        <f t="shared" si="2"/>
        <v>1863.28125</v>
      </c>
      <c r="G12" s="10">
        <f t="shared" si="3"/>
        <v>530</v>
      </c>
      <c r="H12" s="11">
        <f t="shared" si="18"/>
        <v>1937.1930767483045</v>
      </c>
      <c r="I12" s="27">
        <f t="shared" si="4"/>
        <v>645.73102558276821</v>
      </c>
      <c r="J12" s="11">
        <f t="shared" si="19"/>
        <v>1390.6340890057525</v>
      </c>
      <c r="K12" s="11">
        <f t="shared" si="20"/>
        <v>1348.6488968952237</v>
      </c>
      <c r="L12" s="12">
        <f t="shared" si="24"/>
        <v>3.0933938971229313</v>
      </c>
      <c r="M12" s="11">
        <f t="shared" si="5"/>
        <v>351.40954671316507</v>
      </c>
      <c r="N12" s="11">
        <f t="shared" si="6"/>
        <v>252.26297818577237</v>
      </c>
      <c r="O12" s="11">
        <f t="shared" si="7"/>
        <v>-244.6468053296357</v>
      </c>
      <c r="P12" s="11">
        <f t="shared" si="21"/>
        <v>1145.9872836761167</v>
      </c>
      <c r="Q12" s="11">
        <f t="shared" si="8"/>
        <v>1600.9118750809962</v>
      </c>
      <c r="R12" s="13">
        <f t="shared" si="9"/>
        <v>0.71786034427710022</v>
      </c>
      <c r="S12" s="13">
        <f t="shared" si="10"/>
        <v>0.69618713440738278</v>
      </c>
      <c r="T12" s="13">
        <f t="shared" si="11"/>
        <v>0.75355405010279419</v>
      </c>
      <c r="U12" s="12">
        <f t="shared" si="12"/>
        <v>0.80523581245390763</v>
      </c>
      <c r="V12" s="12">
        <f t="shared" si="13"/>
        <v>0.26030820491461892</v>
      </c>
      <c r="W12" s="11">
        <f t="shared" si="14"/>
        <v>171.94210423023173</v>
      </c>
      <c r="X12" s="11">
        <f t="shared" si="22"/>
        <v>1419.0889996470692</v>
      </c>
      <c r="Y12" s="12">
        <f t="shared" si="23"/>
        <v>1.2383112970458907</v>
      </c>
      <c r="Z12" s="35" t="str">
        <f t="shared" si="15"/>
        <v>Ja</v>
      </c>
      <c r="AA12" s="10" t="str">
        <f t="shared" si="16"/>
        <v>Ja</v>
      </c>
    </row>
    <row r="13" spans="1:27" x14ac:dyDescent="0.25">
      <c r="A13" s="10">
        <v>4.5</v>
      </c>
      <c r="B13" s="12">
        <f t="shared" si="0"/>
        <v>1.28</v>
      </c>
      <c r="C13" s="12">
        <f t="shared" si="1"/>
        <v>17.744671625056935</v>
      </c>
      <c r="D13" s="12">
        <f t="shared" si="25"/>
        <v>42.255328374943062</v>
      </c>
      <c r="E13" s="12">
        <f t="shared" si="17"/>
        <v>47.744671625056924</v>
      </c>
      <c r="F13" s="11">
        <f t="shared" si="2"/>
        <v>1863.28125</v>
      </c>
      <c r="G13" s="10">
        <f t="shared" si="3"/>
        <v>596.25</v>
      </c>
      <c r="H13" s="11">
        <f t="shared" si="18"/>
        <v>1956.3565828093717</v>
      </c>
      <c r="I13" s="27">
        <f t="shared" si="4"/>
        <v>652.11886093645728</v>
      </c>
      <c r="J13" s="11">
        <f t="shared" si="19"/>
        <v>1448.0082720064715</v>
      </c>
      <c r="K13" s="11">
        <f t="shared" si="20"/>
        <v>1315.5238968952235</v>
      </c>
      <c r="L13" s="12">
        <f t="shared" si="24"/>
        <v>3.302125355739852</v>
      </c>
      <c r="M13" s="11">
        <f t="shared" si="5"/>
        <v>375.12144041204721</v>
      </c>
      <c r="N13" s="11">
        <f t="shared" si="6"/>
        <v>277.64823319867895</v>
      </c>
      <c r="O13" s="11">
        <f t="shared" si="7"/>
        <v>-252.24502702424297</v>
      </c>
      <c r="P13" s="11">
        <f t="shared" si="21"/>
        <v>1195.7632449822286</v>
      </c>
      <c r="Q13" s="11">
        <f t="shared" si="8"/>
        <v>1593.1721300939025</v>
      </c>
      <c r="R13" s="13">
        <f t="shared" si="9"/>
        <v>0.74015559572841216</v>
      </c>
      <c r="S13" s="13">
        <f t="shared" si="10"/>
        <v>0.67243564310045267</v>
      </c>
      <c r="T13" s="13">
        <f t="shared" si="11"/>
        <v>0.75355405010279419</v>
      </c>
      <c r="U13" s="12">
        <f t="shared" si="12"/>
        <v>0.85957032375568831</v>
      </c>
      <c r="V13" s="12">
        <f t="shared" si="13"/>
        <v>0.26030820491461892</v>
      </c>
      <c r="W13" s="11">
        <f t="shared" si="14"/>
        <v>183.54415925691902</v>
      </c>
      <c r="X13" s="11">
        <f t="shared" si="22"/>
        <v>1426.3341954145508</v>
      </c>
      <c r="Y13" s="12">
        <f t="shared" si="23"/>
        <v>1.1928232460730543</v>
      </c>
      <c r="Z13" s="35" t="str">
        <f t="shared" si="15"/>
        <v>Ja</v>
      </c>
      <c r="AA13" s="10" t="str">
        <f t="shared" si="16"/>
        <v>Ja</v>
      </c>
    </row>
    <row r="14" spans="1:27" x14ac:dyDescent="0.25">
      <c r="A14" s="10">
        <v>5</v>
      </c>
      <c r="B14" s="12">
        <f t="shared" ref="B14:B16" si="26">($B$23*$B$24^2)/(8*$B$27)*(1-((2*A14)/$B$24)^2)</f>
        <v>1.1111111111111112</v>
      </c>
      <c r="C14" s="12">
        <f t="shared" ref="C14:C16" si="27">ATAN((8*$B$25*A14)/$B$24^2)*180/PI()</f>
        <v>19.573125830410195</v>
      </c>
      <c r="D14" s="12">
        <f t="shared" si="25"/>
        <v>40.426874169589809</v>
      </c>
      <c r="E14" s="12">
        <f t="shared" si="17"/>
        <v>49.573125830410191</v>
      </c>
      <c r="F14" s="11">
        <f t="shared" si="2"/>
        <v>1863.28125</v>
      </c>
      <c r="G14" s="10">
        <f t="shared" ref="G14:G16" si="28">($B$23*A14)</f>
        <v>662.5</v>
      </c>
      <c r="H14" s="11">
        <f t="shared" si="18"/>
        <v>1977.5548706929885</v>
      </c>
      <c r="I14" s="27">
        <f t="shared" ref="I14:I16" si="29">H14/$H$23</f>
        <v>659.1849568976628</v>
      </c>
      <c r="J14" s="11">
        <f t="shared" si="19"/>
        <v>1505.3824550071904</v>
      </c>
      <c r="K14" s="11">
        <f t="shared" si="20"/>
        <v>1282.3988968952237</v>
      </c>
      <c r="L14" s="12">
        <f t="shared" si="24"/>
        <v>3.5216400887083394</v>
      </c>
      <c r="M14" s="11">
        <f t="shared" ref="M14:M16" si="30">$G$32*L14*1000</f>
        <v>400.05831407726737</v>
      </c>
      <c r="N14" s="11">
        <f t="shared" ref="N14:N16" si="31">COS(D14*PI()/180)*$G$32*1000*L14</f>
        <v>304.53808180838644</v>
      </c>
      <c r="O14" s="11">
        <f t="shared" ref="O14:O16" si="32">-SIN(D14*PI()/180)*$G$32*1000*L14</f>
        <v>-259.42862484855829</v>
      </c>
      <c r="P14" s="11">
        <f t="shared" si="21"/>
        <v>1245.9538301586322</v>
      </c>
      <c r="Q14" s="11">
        <f t="shared" si="8"/>
        <v>1586.9369787036103</v>
      </c>
      <c r="R14" s="13">
        <f t="shared" si="9"/>
        <v>0.76123422784201378</v>
      </c>
      <c r="S14" s="13">
        <f t="shared" si="10"/>
        <v>0.64847702377321981</v>
      </c>
      <c r="T14" s="13">
        <f t="shared" si="11"/>
        <v>0.75355405010279419</v>
      </c>
      <c r="U14" s="12">
        <f t="shared" ref="U14:U16" si="33">L14/$G$25^2</f>
        <v>0.91671180984702716</v>
      </c>
      <c r="V14" s="12">
        <f t="shared" si="13"/>
        <v>0.26030820491461892</v>
      </c>
      <c r="W14" s="11">
        <f t="shared" ref="W14:W16" si="34">$G$28*U14*$G$27/1000</f>
        <v>195.74558796318351</v>
      </c>
      <c r="X14" s="11">
        <f t="shared" si="22"/>
        <v>1435.0650677451215</v>
      </c>
      <c r="Y14" s="12">
        <f t="shared" si="23"/>
        <v>1.151780293144901</v>
      </c>
      <c r="Z14" s="35" t="str">
        <f t="shared" ref="Z14:Z16" si="35">IF(D14&lt;$M$24, "Nej", "Ja")</f>
        <v>Ja</v>
      </c>
      <c r="AA14" s="10" t="str">
        <f t="shared" ref="AA14:AA16" si="36">IF(AND(Y14&lt;1,D14&gt;$M$24), "Nej", "Ja")</f>
        <v>Ja</v>
      </c>
    </row>
    <row r="15" spans="1:27" x14ac:dyDescent="0.25">
      <c r="A15" s="15">
        <v>5.5</v>
      </c>
      <c r="B15" s="12">
        <f t="shared" si="26"/>
        <v>0.92444444444444462</v>
      </c>
      <c r="C15" s="12">
        <f t="shared" si="27"/>
        <v>21.361020161252576</v>
      </c>
      <c r="D15" s="12">
        <f t="shared" si="25"/>
        <v>38.638979838747424</v>
      </c>
      <c r="E15" s="12">
        <f t="shared" si="17"/>
        <v>51.361020161252583</v>
      </c>
      <c r="F15" s="11">
        <f t="shared" si="2"/>
        <v>1863.28125</v>
      </c>
      <c r="G15" s="10">
        <f t="shared" si="28"/>
        <v>728.75</v>
      </c>
      <c r="H15" s="11">
        <f t="shared" si="18"/>
        <v>2000.723263997688</v>
      </c>
      <c r="I15" s="27">
        <f t="shared" si="29"/>
        <v>666.90775466589605</v>
      </c>
      <c r="J15" s="11">
        <f t="shared" si="19"/>
        <v>1562.7566380079097</v>
      </c>
      <c r="K15" s="11">
        <f t="shared" si="20"/>
        <v>1249.2738968952235</v>
      </c>
      <c r="L15" s="12">
        <f t="shared" si="24"/>
        <v>3.752795864602088</v>
      </c>
      <c r="M15" s="11">
        <f t="shared" si="30"/>
        <v>426.3176102187972</v>
      </c>
      <c r="N15" s="11">
        <f t="shared" si="31"/>
        <v>332.99491601746274</v>
      </c>
      <c r="O15" s="11">
        <f t="shared" si="32"/>
        <v>-266.19746559497759</v>
      </c>
      <c r="P15" s="11">
        <f t="shared" si="21"/>
        <v>1296.5591724129322</v>
      </c>
      <c r="Q15" s="11">
        <f t="shared" si="8"/>
        <v>1582.2688129126864</v>
      </c>
      <c r="R15" s="13">
        <f t="shared" si="9"/>
        <v>0.78109584975052093</v>
      </c>
      <c r="S15" s="13">
        <f t="shared" si="10"/>
        <v>0.62441114139844722</v>
      </c>
      <c r="T15" s="13">
        <f t="shared" si="11"/>
        <v>0.75355405010279419</v>
      </c>
      <c r="U15" s="12">
        <f t="shared" si="33"/>
        <v>0.97688355492557488</v>
      </c>
      <c r="V15" s="12">
        <f t="shared" si="13"/>
        <v>0.26030820491461892</v>
      </c>
      <c r="W15" s="11">
        <f t="shared" si="34"/>
        <v>208.59406825181054</v>
      </c>
      <c r="X15" s="11">
        <f t="shared" si="22"/>
        <v>1445.3515716660229</v>
      </c>
      <c r="Y15" s="12">
        <f t="shared" si="23"/>
        <v>1.1147594359123494</v>
      </c>
      <c r="Z15" s="35" t="str">
        <f t="shared" si="35"/>
        <v>Ja</v>
      </c>
      <c r="AA15" s="10" t="str">
        <f t="shared" si="36"/>
        <v>Ja</v>
      </c>
    </row>
    <row r="16" spans="1:27" x14ac:dyDescent="0.25">
      <c r="A16" s="10">
        <v>6</v>
      </c>
      <c r="B16" s="12">
        <f t="shared" si="26"/>
        <v>0.71999999999999975</v>
      </c>
      <c r="C16" s="12">
        <f t="shared" si="27"/>
        <v>23.106326858271576</v>
      </c>
      <c r="D16" s="12">
        <f t="shared" si="25"/>
        <v>36.893673141728428</v>
      </c>
      <c r="E16" s="12">
        <f t="shared" si="17"/>
        <v>53.106326858271572</v>
      </c>
      <c r="F16" s="11">
        <f t="shared" si="2"/>
        <v>1863.28125</v>
      </c>
      <c r="G16" s="10">
        <f t="shared" si="28"/>
        <v>795</v>
      </c>
      <c r="H16" s="11">
        <f t="shared" si="18"/>
        <v>2025.7941693571838</v>
      </c>
      <c r="I16" s="27">
        <f t="shared" si="29"/>
        <v>675.26472311906127</v>
      </c>
      <c r="J16" s="11">
        <f t="shared" si="19"/>
        <v>1620.1308210086286</v>
      </c>
      <c r="K16" s="11">
        <f t="shared" si="20"/>
        <v>1216.1488968952237</v>
      </c>
      <c r="L16" s="12">
        <f t="shared" si="24"/>
        <v>3.9965439062883346</v>
      </c>
      <c r="M16" s="11">
        <f t="shared" si="30"/>
        <v>454.00738775435485</v>
      </c>
      <c r="N16" s="11">
        <f t="shared" si="31"/>
        <v>363.09284180625701</v>
      </c>
      <c r="O16" s="11">
        <f t="shared" si="32"/>
        <v>-272.55512536840973</v>
      </c>
      <c r="P16" s="11">
        <f t="shared" si="21"/>
        <v>1347.5756956402188</v>
      </c>
      <c r="Q16" s="11">
        <f t="shared" si="8"/>
        <v>1579.2417387014807</v>
      </c>
      <c r="R16" s="13">
        <f t="shared" si="9"/>
        <v>0.79975095471951196</v>
      </c>
      <c r="S16" s="13">
        <f t="shared" si="10"/>
        <v>0.60033191688034471</v>
      </c>
      <c r="T16" s="13">
        <f t="shared" si="11"/>
        <v>0.75355405010279419</v>
      </c>
      <c r="U16" s="12">
        <f t="shared" si="33"/>
        <v>1.0403331701083753</v>
      </c>
      <c r="V16" s="12">
        <f t="shared" si="13"/>
        <v>0.26030820491461892</v>
      </c>
      <c r="W16" s="11">
        <f t="shared" si="34"/>
        <v>222.14247255574062</v>
      </c>
      <c r="X16" s="11">
        <f t="shared" si="22"/>
        <v>1457.2786233017857</v>
      </c>
      <c r="Y16" s="12">
        <f t="shared" si="23"/>
        <v>1.0814076181519794</v>
      </c>
      <c r="Z16" s="35" t="str">
        <f t="shared" si="35"/>
        <v>Ja</v>
      </c>
      <c r="AA16" s="10" t="str">
        <f t="shared" si="36"/>
        <v>Ja</v>
      </c>
    </row>
    <row r="17" spans="1:28" x14ac:dyDescent="0.25">
      <c r="A17" s="10">
        <v>6.5</v>
      </c>
      <c r="B17" s="12">
        <f>($B$23*$B$24^2)/(8*$B$27)*(1-((2*A17)/$B$24)^2)</f>
        <v>0.49777777777777765</v>
      </c>
      <c r="C17" s="12">
        <f>ATAN((8*$B$25*A17)/$B$24^2)*180/PI()</f>
        <v>24.807428973141768</v>
      </c>
      <c r="D17" s="12">
        <f t="shared" si="25"/>
        <v>35.192571026858232</v>
      </c>
      <c r="E17" s="12">
        <f t="shared" si="17"/>
        <v>54.807428973141768</v>
      </c>
      <c r="F17" s="11">
        <f t="shared" si="2"/>
        <v>1863.28125</v>
      </c>
      <c r="G17" s="10">
        <f>($B$23*A17)</f>
        <v>861.25</v>
      </c>
      <c r="H17" s="11">
        <f t="shared" si="18"/>
        <v>2052.6978781841135</v>
      </c>
      <c r="I17" s="27">
        <f>H17/$H$23</f>
        <v>684.23262606137121</v>
      </c>
      <c r="J17" s="11">
        <f t="shared" si="19"/>
        <v>1677.5050040093477</v>
      </c>
      <c r="K17" s="11">
        <f t="shared" si="20"/>
        <v>1183.0238968952235</v>
      </c>
      <c r="L17" s="12">
        <f t="shared" si="24"/>
        <v>4.2539419746596687</v>
      </c>
      <c r="M17" s="11">
        <f>$G$32*L17*1000</f>
        <v>483.24780832133843</v>
      </c>
      <c r="N17" s="11">
        <f>COS(D17*PI()/180)*$G$32*1000*L17</f>
        <v>394.9195959381633</v>
      </c>
      <c r="O17" s="11">
        <f>-SIN(D17*PI()/180)*$G$32*1000*L17</f>
        <v>-278.50845048474713</v>
      </c>
      <c r="P17" s="11">
        <f t="shared" si="21"/>
        <v>1398.9965535246006</v>
      </c>
      <c r="Q17" s="11">
        <f t="shared" si="8"/>
        <v>1577.9434928333867</v>
      </c>
      <c r="R17" s="13">
        <f t="shared" si="9"/>
        <v>0.81721963170407019</v>
      </c>
      <c r="S17" s="13">
        <f t="shared" si="10"/>
        <v>0.57632636028335882</v>
      </c>
      <c r="T17" s="13">
        <f t="shared" si="11"/>
        <v>0.75355405010279419</v>
      </c>
      <c r="U17" s="12">
        <f>L17/$G$25^2</f>
        <v>1.1073359992346077</v>
      </c>
      <c r="V17" s="12">
        <f t="shared" si="13"/>
        <v>0.26030820491461892</v>
      </c>
      <c r="W17" s="11">
        <f>$G$28*U17*$G$27/1000</f>
        <v>236.44959507955721</v>
      </c>
      <c r="X17" s="11">
        <f t="shared" si="22"/>
        <v>1470.9480361837486</v>
      </c>
      <c r="Y17" s="12">
        <f t="shared" si="23"/>
        <v>1.0514307790665209</v>
      </c>
      <c r="Z17" s="35" t="str">
        <f>IF(D17&lt;$M$24, "Nej", "Ja")</f>
        <v>Ja</v>
      </c>
      <c r="AA17" s="10" t="str">
        <f>IF(AND(Y17&lt;1,D17&gt;$M$24), "Nej", "Ja")</f>
        <v>Ja</v>
      </c>
    </row>
    <row r="18" spans="1:28" x14ac:dyDescent="0.25">
      <c r="A18" s="10">
        <v>7</v>
      </c>
      <c r="B18" s="12">
        <f t="shared" ref="B18:B19" si="37">($B$23*$B$24^2)/(8*$B$27)*(1-((2*A18)/$B$24)^2)</f>
        <v>0.25777777777777766</v>
      </c>
      <c r="C18" s="12">
        <f t="shared" ref="C18:C19" si="38">ATAN((8*$B$25*A18)/$B$24^2)*180/PI()</f>
        <v>26.463101499062404</v>
      </c>
      <c r="D18" s="12">
        <f t="shared" si="25"/>
        <v>33.536898500937596</v>
      </c>
      <c r="E18" s="12">
        <f t="shared" si="17"/>
        <v>56.463101499062404</v>
      </c>
      <c r="F18" s="11">
        <f t="shared" si="2"/>
        <v>1863.28125</v>
      </c>
      <c r="G18" s="10">
        <f t="shared" ref="G18:G19" si="39">($B$23*A18)</f>
        <v>927.5</v>
      </c>
      <c r="H18" s="11">
        <f t="shared" si="18"/>
        <v>2081.3633192216976</v>
      </c>
      <c r="I18" s="27">
        <f t="shared" ref="I18:I19" si="40">H18/$H$23</f>
        <v>693.78777307389919</v>
      </c>
      <c r="J18" s="11">
        <f t="shared" si="19"/>
        <v>1734.8791870100665</v>
      </c>
      <c r="K18" s="11">
        <f t="shared" si="20"/>
        <v>1149.8988968952237</v>
      </c>
      <c r="L18" s="12">
        <f t="shared" si="24"/>
        <v>4.5261697137747898</v>
      </c>
      <c r="M18" s="11">
        <f t="shared" ref="M18:M19" si="41">$G$32*L18*1000</f>
        <v>514.17287948481612</v>
      </c>
      <c r="N18" s="11">
        <f t="shared" ref="N18:N19" si="42">COS(D18*PI()/180)*$G$32*1000*L18</f>
        <v>428.57862387850992</v>
      </c>
      <c r="O18" s="11">
        <f t="shared" ref="O18:O19" si="43">-SIN(D18*PI()/180)*$G$32*1000*L18</f>
        <v>-284.0670926948597</v>
      </c>
      <c r="P18" s="11">
        <f t="shared" si="21"/>
        <v>1450.8120943152069</v>
      </c>
      <c r="Q18" s="11">
        <f t="shared" si="8"/>
        <v>1578.4775207737337</v>
      </c>
      <c r="R18" s="13">
        <f t="shared" si="9"/>
        <v>0.83353020156942381</v>
      </c>
      <c r="S18" s="13">
        <f t="shared" si="10"/>
        <v>0.5524738935656921</v>
      </c>
      <c r="T18" s="13">
        <f t="shared" si="11"/>
        <v>0.75355405010279419</v>
      </c>
      <c r="U18" s="12">
        <f t="shared" ref="U18:U19" si="44">L18/$G$25^2</f>
        <v>1.1781991133316301</v>
      </c>
      <c r="V18" s="12">
        <f t="shared" si="13"/>
        <v>0.26030820491461892</v>
      </c>
      <c r="W18" s="11">
        <f t="shared" ref="W18:W19" si="45">$G$28*U18*$G$27/1000</f>
        <v>251.5810047383228</v>
      </c>
      <c r="X18" s="11">
        <f t="shared" si="22"/>
        <v>1486.4806258090268</v>
      </c>
      <c r="Y18" s="12">
        <f t="shared" si="23"/>
        <v>1.0245852179159396</v>
      </c>
      <c r="Z18" s="35" t="str">
        <f t="shared" ref="Z18:Z19" si="46">IF(D18&lt;$M$24, "Nej", "Ja")</f>
        <v>Ja</v>
      </c>
      <c r="AA18" s="10" t="str">
        <f t="shared" ref="AA18:AA19" si="47">IF(AND(Y18&lt;1,D18&gt;$M$24), "Nej", "Ja")</f>
        <v>Ja</v>
      </c>
    </row>
    <row r="19" spans="1:28" ht="15.75" thickBot="1" x14ac:dyDescent="0.3">
      <c r="A19" s="36">
        <v>7.5</v>
      </c>
      <c r="B19" s="17">
        <f t="shared" si="37"/>
        <v>0</v>
      </c>
      <c r="C19" s="17">
        <f t="shared" si="38"/>
        <v>28.072486935852954</v>
      </c>
      <c r="D19" s="17">
        <f t="shared" si="25"/>
        <v>31.927513064147046</v>
      </c>
      <c r="E19" s="17">
        <f t="shared" si="17"/>
        <v>58.07248693585295</v>
      </c>
      <c r="F19" s="18">
        <f t="shared" si="2"/>
        <v>1863.28125</v>
      </c>
      <c r="G19" s="16">
        <f t="shared" si="39"/>
        <v>993.75</v>
      </c>
      <c r="H19" s="18">
        <f t="shared" si="18"/>
        <v>2111.71875</v>
      </c>
      <c r="I19" s="37">
        <f t="shared" si="40"/>
        <v>703.90625</v>
      </c>
      <c r="J19" s="18">
        <f t="shared" si="19"/>
        <v>1792.2533700107856</v>
      </c>
      <c r="K19" s="18">
        <f t="shared" si="20"/>
        <v>1116.773896895224</v>
      </c>
      <c r="L19" s="17">
        <f>IF($H$23/TAN(D19*PI()/180)&gt;$M$23,$M$23,$H$23/TAN(D19*PI()/180))</f>
        <v>4.814546726943072</v>
      </c>
      <c r="M19" s="18">
        <f t="shared" si="41"/>
        <v>546.93250818073307</v>
      </c>
      <c r="N19" s="18">
        <f t="shared" si="42"/>
        <v>464.19137536917287</v>
      </c>
      <c r="O19" s="18">
        <f t="shared" si="43"/>
        <v>-289.24303887517027</v>
      </c>
      <c r="P19" s="18">
        <f t="shared" si="21"/>
        <v>1503.0103311356154</v>
      </c>
      <c r="Q19" s="18">
        <f t="shared" si="8"/>
        <v>1580.9652722643968</v>
      </c>
      <c r="R19" s="38">
        <f t="shared" si="9"/>
        <v>0.84871783707502979</v>
      </c>
      <c r="S19" s="38">
        <f t="shared" si="10"/>
        <v>0.52884594451568134</v>
      </c>
      <c r="T19" s="38">
        <f t="shared" si="11"/>
        <v>0.75355405010279419</v>
      </c>
      <c r="U19" s="17">
        <f t="shared" si="44"/>
        <v>1.2532660159681051</v>
      </c>
      <c r="V19" s="17">
        <f t="shared" si="13"/>
        <v>0.26030820491461892</v>
      </c>
      <c r="W19" s="18">
        <f t="shared" si="45"/>
        <v>267.61004989222329</v>
      </c>
      <c r="X19" s="18">
        <f t="shared" si="22"/>
        <v>1504.0185557588754</v>
      </c>
      <c r="Y19" s="17">
        <f t="shared" si="23"/>
        <v>1.0006708035216885</v>
      </c>
      <c r="Z19" s="39" t="str">
        <f t="shared" si="46"/>
        <v>Ja</v>
      </c>
      <c r="AA19" s="16" t="str">
        <f t="shared" si="47"/>
        <v>Ja</v>
      </c>
    </row>
    <row r="20" spans="1:28" x14ac:dyDescent="0.25">
      <c r="A20" t="s">
        <v>52</v>
      </c>
      <c r="G20" s="19"/>
      <c r="H20" s="20"/>
      <c r="I20" s="28"/>
      <c r="J20" s="45">
        <v>25</v>
      </c>
      <c r="K20" s="44" t="s">
        <v>54</v>
      </c>
      <c r="L20" s="30"/>
      <c r="M20" s="29"/>
      <c r="N20" s="29"/>
      <c r="O20" s="29"/>
      <c r="P20" s="29"/>
      <c r="Q20" s="29"/>
      <c r="R20" s="31"/>
      <c r="S20" s="31"/>
      <c r="T20" s="31"/>
      <c r="U20" s="30"/>
      <c r="V20" s="30"/>
      <c r="W20" s="29"/>
      <c r="X20" s="29"/>
      <c r="Y20" s="32"/>
    </row>
    <row r="21" spans="1:28" x14ac:dyDescent="0.25">
      <c r="A21" t="s">
        <v>55</v>
      </c>
      <c r="F21" s="40">
        <f>M23</f>
        <v>6.5465367070797722</v>
      </c>
      <c r="G21" s="25" t="s">
        <v>0</v>
      </c>
      <c r="H21" s="20"/>
      <c r="I21" s="41"/>
      <c r="J21" s="20"/>
      <c r="K21" s="20"/>
      <c r="L21" s="21"/>
      <c r="M21" s="20"/>
      <c r="N21" s="20"/>
      <c r="O21" s="20"/>
      <c r="P21" s="20"/>
      <c r="Q21" s="20"/>
      <c r="R21" s="22"/>
      <c r="S21" s="22"/>
      <c r="T21" s="22"/>
      <c r="U21" s="21"/>
      <c r="V21" s="21"/>
      <c r="W21" s="20"/>
      <c r="X21" s="20"/>
      <c r="Y21" s="22"/>
    </row>
    <row r="22" spans="1:28" x14ac:dyDescent="0.25">
      <c r="A22" s="19"/>
      <c r="B22" s="21"/>
      <c r="C22" s="21"/>
      <c r="D22" s="21"/>
      <c r="E22" s="21"/>
      <c r="F22" s="20"/>
      <c r="G22" s="19"/>
      <c r="H22" s="20"/>
      <c r="I22" s="41"/>
      <c r="J22" s="20"/>
      <c r="K22" s="20"/>
      <c r="L22" s="21"/>
      <c r="M22" s="20"/>
      <c r="N22" s="20"/>
      <c r="O22" s="20"/>
      <c r="P22" s="20"/>
      <c r="Q22" s="20"/>
      <c r="R22" s="22"/>
      <c r="S22" s="22"/>
      <c r="T22" s="22"/>
      <c r="U22" s="21"/>
      <c r="V22" s="21"/>
      <c r="W22" s="20"/>
      <c r="X22" s="20"/>
      <c r="Y22" s="22"/>
      <c r="AA22" s="23"/>
      <c r="AB22" s="23"/>
    </row>
    <row r="23" spans="1:28" ht="18" x14ac:dyDescent="0.35">
      <c r="A23" t="s">
        <v>29</v>
      </c>
      <c r="B23" s="1">
        <f>5*26.5</f>
        <v>132.5</v>
      </c>
      <c r="C23" t="s">
        <v>1</v>
      </c>
      <c r="D23" t="s">
        <v>30</v>
      </c>
      <c r="H23">
        <v>3</v>
      </c>
      <c r="I23" s="43"/>
      <c r="J23" t="s">
        <v>0</v>
      </c>
      <c r="L23" t="s">
        <v>31</v>
      </c>
      <c r="M23" s="40">
        <f>H23/TAN(M24*PI()/180)</f>
        <v>6.5465367070797722</v>
      </c>
      <c r="N23" t="s">
        <v>0</v>
      </c>
      <c r="O23" s="20"/>
      <c r="P23" s="20"/>
      <c r="Q23" s="20"/>
      <c r="R23" s="22"/>
      <c r="S23" s="22"/>
      <c r="T23" s="22"/>
      <c r="U23" s="21"/>
      <c r="V23" s="21"/>
      <c r="W23" s="20"/>
      <c r="X23" s="20"/>
      <c r="Y23" s="22"/>
      <c r="Z23" s="1"/>
      <c r="AA23" s="1"/>
    </row>
    <row r="24" spans="1:28" ht="18" x14ac:dyDescent="0.35">
      <c r="A24" t="s">
        <v>32</v>
      </c>
      <c r="B24">
        <v>15</v>
      </c>
      <c r="C24" t="s">
        <v>0</v>
      </c>
      <c r="I24" s="43"/>
      <c r="L24" s="24" t="s">
        <v>51</v>
      </c>
      <c r="M24" s="1">
        <f>ACOS(G31/(G31+H23*0.5))*180/PI()</f>
        <v>24.6199773286571</v>
      </c>
      <c r="N24" s="24" t="s">
        <v>35</v>
      </c>
      <c r="O24" s="20"/>
      <c r="P24" s="20"/>
      <c r="Q24" s="20"/>
      <c r="R24" s="22"/>
      <c r="S24" s="22"/>
      <c r="T24" s="22"/>
      <c r="U24" s="21"/>
      <c r="V24" s="21"/>
      <c r="W24" s="20"/>
      <c r="X24" s="20"/>
      <c r="Y24" s="22"/>
    </row>
    <row r="25" spans="1:28" x14ac:dyDescent="0.25">
      <c r="A25" t="s">
        <v>33</v>
      </c>
      <c r="B25">
        <v>2</v>
      </c>
      <c r="C25" t="s">
        <v>0</v>
      </c>
      <c r="D25" t="s">
        <v>34</v>
      </c>
      <c r="G25">
        <v>1.96</v>
      </c>
      <c r="H25" t="s">
        <v>0</v>
      </c>
      <c r="L25" s="24"/>
      <c r="M25" s="1"/>
      <c r="N25" s="24"/>
    </row>
    <row r="27" spans="1:28" x14ac:dyDescent="0.25">
      <c r="A27" t="s">
        <v>36</v>
      </c>
      <c r="B27" s="1">
        <f>(B23*B24^2)/(8*B25)</f>
        <v>1863.28125</v>
      </c>
      <c r="C27" t="s">
        <v>37</v>
      </c>
      <c r="D27" t="s">
        <v>38</v>
      </c>
      <c r="G27">
        <v>435</v>
      </c>
      <c r="H27" t="s">
        <v>2</v>
      </c>
    </row>
    <row r="28" spans="1:28" x14ac:dyDescent="0.25">
      <c r="A28" t="s">
        <v>39</v>
      </c>
      <c r="B28" s="1">
        <f>B24*B23/2</f>
        <v>993.75</v>
      </c>
      <c r="C28" t="s">
        <v>37</v>
      </c>
      <c r="D28" s="24" t="s">
        <v>40</v>
      </c>
      <c r="G28" s="1">
        <f>25^2*PI()/4</f>
        <v>490.87385212340519</v>
      </c>
      <c r="H28" t="s">
        <v>41</v>
      </c>
    </row>
    <row r="29" spans="1:28" x14ac:dyDescent="0.25">
      <c r="A29" t="s">
        <v>42</v>
      </c>
      <c r="B29" s="1">
        <f>(B27^2+B28^2)^0.5</f>
        <v>2111.71875</v>
      </c>
      <c r="C29" t="s">
        <v>37</v>
      </c>
      <c r="D29" t="s">
        <v>43</v>
      </c>
      <c r="G29">
        <v>21.3</v>
      </c>
      <c r="H29" t="s">
        <v>2</v>
      </c>
    </row>
    <row r="30" spans="1:28" x14ac:dyDescent="0.25">
      <c r="D30" t="s">
        <v>44</v>
      </c>
      <c r="G30">
        <v>0.08</v>
      </c>
      <c r="H30" t="s">
        <v>3</v>
      </c>
    </row>
    <row r="31" spans="1:28" ht="17.25" x14ac:dyDescent="0.25">
      <c r="A31" t="s">
        <v>45</v>
      </c>
      <c r="B31">
        <v>60</v>
      </c>
      <c r="C31" t="s">
        <v>46</v>
      </c>
      <c r="D31" t="s">
        <v>47</v>
      </c>
      <c r="G31">
        <v>15</v>
      </c>
      <c r="H31" t="s">
        <v>0</v>
      </c>
    </row>
    <row r="32" spans="1:28" ht="18.75" x14ac:dyDescent="0.35">
      <c r="A32" s="24" t="s">
        <v>48</v>
      </c>
      <c r="B32">
        <v>37</v>
      </c>
      <c r="C32" t="s">
        <v>46</v>
      </c>
      <c r="D32" s="25" t="s">
        <v>49</v>
      </c>
      <c r="G32" s="2">
        <f>(G29*G30)/G31</f>
        <v>0.11360000000000001</v>
      </c>
      <c r="H32" t="s">
        <v>2</v>
      </c>
    </row>
  </sheetData>
  <pageMargins left="0.7" right="0.7" top="0.75" bottom="0.75" header="0.3" footer="0.3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32"/>
  <sheetViews>
    <sheetView zoomScaleNormal="100" workbookViewId="0">
      <selection activeCell="G30" sqref="G30"/>
    </sheetView>
  </sheetViews>
  <sheetFormatPr defaultRowHeight="15" x14ac:dyDescent="0.25"/>
  <cols>
    <col min="3" max="3" width="15.42578125" customWidth="1"/>
    <col min="6" max="6" width="9.5703125" customWidth="1"/>
    <col min="9" max="9" width="9.28515625" customWidth="1"/>
    <col min="18" max="20" width="0" hidden="1" customWidth="1"/>
    <col min="22" max="22" width="0" hidden="1" customWidth="1"/>
    <col min="25" max="25" width="15.28515625" customWidth="1"/>
  </cols>
  <sheetData>
    <row r="1" spans="1:27" ht="18.75" x14ac:dyDescent="0.3">
      <c r="A1" s="46" t="s">
        <v>61</v>
      </c>
    </row>
    <row r="2" spans="1:27" ht="24" thickBot="1" x14ac:dyDescent="0.4">
      <c r="A2" s="3"/>
    </row>
    <row r="3" spans="1:27" ht="49.5" thickBot="1" x14ac:dyDescent="0.4">
      <c r="A3" s="4" t="s">
        <v>4</v>
      </c>
      <c r="B3" s="4" t="s">
        <v>5</v>
      </c>
      <c r="C3" s="5" t="s">
        <v>53</v>
      </c>
      <c r="D3" s="6" t="s">
        <v>6</v>
      </c>
      <c r="E3" s="6" t="s">
        <v>50</v>
      </c>
      <c r="F3" s="4" t="s">
        <v>7</v>
      </c>
      <c r="G3" s="4" t="s">
        <v>8</v>
      </c>
      <c r="H3" s="4" t="s">
        <v>9</v>
      </c>
      <c r="I3" s="26" t="s">
        <v>10</v>
      </c>
      <c r="J3" s="4" t="s">
        <v>11</v>
      </c>
      <c r="K3" s="4" t="s">
        <v>12</v>
      </c>
      <c r="L3" s="5" t="s">
        <v>13</v>
      </c>
      <c r="M3" s="5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4" t="s">
        <v>26</v>
      </c>
      <c r="Z3" s="5" t="s">
        <v>56</v>
      </c>
      <c r="AA3" s="5" t="s">
        <v>27</v>
      </c>
    </row>
    <row r="4" spans="1:27" x14ac:dyDescent="0.25">
      <c r="A4" s="7" t="s">
        <v>28</v>
      </c>
      <c r="B4" s="8">
        <f t="shared" ref="B4:B13" si="0">($B$23*$B$24^2)/(8*$B$27)*(1-((2*A4)/$B$24)^2)</f>
        <v>2</v>
      </c>
      <c r="C4" s="8">
        <f t="shared" ref="C4:C13" si="1">ATAN((8*$B$25*A4)/$B$24^2)*180/PI()</f>
        <v>0</v>
      </c>
      <c r="D4" s="8">
        <f>ABS(C4-$B$31)</f>
        <v>75</v>
      </c>
      <c r="E4" s="8">
        <f>180-(D4+90)</f>
        <v>15</v>
      </c>
      <c r="F4" s="9">
        <f t="shared" ref="F4:F19" si="2">$B$27</f>
        <v>1863.28125</v>
      </c>
      <c r="G4" s="14">
        <f t="shared" ref="G4:G13" si="3">($B$23*A4)</f>
        <v>0</v>
      </c>
      <c r="H4" s="9">
        <f>(F4^2+G4^2)^0.5</f>
        <v>1863.28125</v>
      </c>
      <c r="I4" s="33">
        <f t="shared" ref="I4:I13" si="4">H4/$H$23</f>
        <v>621.09375</v>
      </c>
      <c r="J4" s="9">
        <f>SIN((90-D4)*PI()/180)*H4</f>
        <v>482.25267388243122</v>
      </c>
      <c r="K4" s="9">
        <f>COS((90-D4)*PI()/180)*H4</f>
        <v>1799.7914810151781</v>
      </c>
      <c r="L4" s="8">
        <f>IF($H$23/TAN(D4*PI()/180)&gt;$M$23,$M$23,$H$23/TAN(D4*PI()/180))</f>
        <v>0.80384757729336809</v>
      </c>
      <c r="M4" s="9">
        <f t="shared" ref="M4:M13" si="5">$G$32*L4*1000</f>
        <v>45.658542390263314</v>
      </c>
      <c r="N4" s="9">
        <f t="shared" ref="N4:N13" si="6">COS(D4*PI()/180)*$G$32*1000*L4</f>
        <v>11.817300342220916</v>
      </c>
      <c r="O4" s="9">
        <f t="shared" ref="O4:O13" si="7">-SIN(D4*PI()/180)*$G$32*1000*L4</f>
        <v>-44.102765285469545</v>
      </c>
      <c r="P4" s="9">
        <f>J4+O4</f>
        <v>438.14990859696167</v>
      </c>
      <c r="Q4" s="9">
        <f t="shared" ref="Q4:Q19" si="8">K4+N4</f>
        <v>1811.608781357399</v>
      </c>
      <c r="R4" s="34">
        <f t="shared" ref="R4:R19" si="9">SIN(E4*PI()/180)</f>
        <v>0.25881904510252074</v>
      </c>
      <c r="S4" s="34">
        <f t="shared" ref="S4:S19" si="10">COS(E4*PI()/180)</f>
        <v>0.96592582628906831</v>
      </c>
      <c r="T4" s="34">
        <f t="shared" ref="T4:T19" si="11">TAN($B$32*PI()/180)</f>
        <v>0.75355405010279419</v>
      </c>
      <c r="U4" s="8">
        <f t="shared" ref="U4:U13" si="12">L4/$G$25^2</f>
        <v>0.15195606376056109</v>
      </c>
      <c r="V4" s="8">
        <f t="shared" ref="V4:V19" si="13">U4/L4</f>
        <v>0.18903591682419663</v>
      </c>
      <c r="W4" s="9">
        <f t="shared" ref="W4:W13" si="14">$G$28*U4*$G$27/1000</f>
        <v>32.447197391670535</v>
      </c>
      <c r="X4" s="9">
        <f>((Q4+((R4+(S4/T4))*W4))*T4)</f>
        <v>1402.8150315733051</v>
      </c>
      <c r="Y4" s="8">
        <f>X4/P4</f>
        <v>3.2016782476695758</v>
      </c>
      <c r="Z4" s="10" t="str">
        <f t="shared" ref="Z4:Z13" si="15">IF(D4&lt;$M$24, "Nej", "Ja")</f>
        <v>Ja</v>
      </c>
      <c r="AA4" s="10" t="str">
        <f t="shared" ref="AA4:AA13" si="16">IF(AND(Y4&lt;1,D4&gt;$M$24), "Nej", "Ja")</f>
        <v>Ja</v>
      </c>
    </row>
    <row r="5" spans="1:27" x14ac:dyDescent="0.25">
      <c r="A5" s="10">
        <v>0.5</v>
      </c>
      <c r="B5" s="12">
        <f t="shared" si="0"/>
        <v>1.9911111111111111</v>
      </c>
      <c r="C5" s="12">
        <f t="shared" si="1"/>
        <v>2.0363254547982761</v>
      </c>
      <c r="D5" s="12">
        <f>ABS(C5-$B$31)</f>
        <v>72.963674545201727</v>
      </c>
      <c r="E5" s="12">
        <f t="shared" ref="E5:E19" si="17">180-(D5+90)</f>
        <v>17.036325454798259</v>
      </c>
      <c r="F5" s="11">
        <f t="shared" si="2"/>
        <v>1863.28125</v>
      </c>
      <c r="G5" s="10">
        <f t="shared" si="3"/>
        <v>66.25</v>
      </c>
      <c r="H5" s="11">
        <f t="shared" ref="H5:H19" si="18">(F5^2+G5^2)^0.5</f>
        <v>1864.4586557769424</v>
      </c>
      <c r="I5" s="27">
        <f t="shared" si="4"/>
        <v>621.48621859231412</v>
      </c>
      <c r="J5" s="11">
        <f t="shared" ref="J5:J19" si="19">SIN((90-D5)*PI()/180)*H5</f>
        <v>546.24525987408197</v>
      </c>
      <c r="K5" s="11">
        <f t="shared" ref="K5:K19" si="20">COS((90-D5)*PI()/180)*H5</f>
        <v>1782.6447192771361</v>
      </c>
      <c r="L5" s="12">
        <f>IF($H$23/TAN(D5*PI()/180)&gt;$M$23,$M$23,$H$23/TAN(D5*PI()/180))</f>
        <v>0.91927222620486859</v>
      </c>
      <c r="M5" s="11">
        <f t="shared" si="5"/>
        <v>52.214662448436542</v>
      </c>
      <c r="N5" s="11">
        <f t="shared" si="6"/>
        <v>15.297744345260485</v>
      </c>
      <c r="O5" s="11">
        <f t="shared" si="7"/>
        <v>-49.923441313186927</v>
      </c>
      <c r="P5" s="11">
        <f t="shared" ref="P5:P19" si="21">J5+O5</f>
        <v>496.32181856089505</v>
      </c>
      <c r="Q5" s="11">
        <f t="shared" si="8"/>
        <v>1797.9424636223966</v>
      </c>
      <c r="R5" s="13">
        <f t="shared" si="9"/>
        <v>0.29297794197879629</v>
      </c>
      <c r="S5" s="13">
        <f t="shared" si="10"/>
        <v>0.95611920047338717</v>
      </c>
      <c r="T5" s="13">
        <f t="shared" si="11"/>
        <v>0.75355405010279419</v>
      </c>
      <c r="U5" s="12">
        <f t="shared" si="12"/>
        <v>0.17377546809165761</v>
      </c>
      <c r="V5" s="12">
        <f t="shared" si="13"/>
        <v>0.18903591682419663</v>
      </c>
      <c r="W5" s="11">
        <f t="shared" si="14"/>
        <v>37.106297540614442</v>
      </c>
      <c r="X5" s="11">
        <f t="shared" ref="X5:X19" si="22">((Q5+((R5+(S5/T5))*W5))*T5)</f>
        <v>1398.5170011071718</v>
      </c>
      <c r="Y5" s="12">
        <f t="shared" ref="Y5:Y19" si="23">X5/P5</f>
        <v>2.8177624855627501</v>
      </c>
      <c r="Z5" s="10" t="str">
        <f>IF(D5&lt;$M$24, "Nej", "Ja")</f>
        <v>Ja</v>
      </c>
      <c r="AA5" s="10" t="str">
        <f t="shared" si="16"/>
        <v>Ja</v>
      </c>
    </row>
    <row r="6" spans="1:27" x14ac:dyDescent="0.25">
      <c r="A6" s="15">
        <v>1</v>
      </c>
      <c r="B6" s="12">
        <f t="shared" si="0"/>
        <v>1.9644444444444444</v>
      </c>
      <c r="C6" s="12">
        <f t="shared" si="1"/>
        <v>4.067519566580148</v>
      </c>
      <c r="D6" s="12">
        <f>ABS(C6-$B$31)</f>
        <v>70.932480433419855</v>
      </c>
      <c r="E6" s="12">
        <f t="shared" si="17"/>
        <v>19.067519566580131</v>
      </c>
      <c r="F6" s="11">
        <f t="shared" si="2"/>
        <v>1863.28125</v>
      </c>
      <c r="G6" s="10">
        <f t="shared" si="3"/>
        <v>132.5</v>
      </c>
      <c r="H6" s="11">
        <f t="shared" si="18"/>
        <v>1867.9864203472043</v>
      </c>
      <c r="I6" s="27">
        <f t="shared" si="4"/>
        <v>622.66214011573481</v>
      </c>
      <c r="J6" s="11">
        <f t="shared" si="19"/>
        <v>610.23784586573277</v>
      </c>
      <c r="K6" s="11">
        <f t="shared" si="20"/>
        <v>1765.4979575390939</v>
      </c>
      <c r="L6" s="12">
        <f t="shared" ref="L6:L18" si="24">IF($H$23/TAN(D6*PI()/180)&gt;$M$23,$M$23,$H$23/TAN(D6*PI()/180))</f>
        <v>1.0369389156071338</v>
      </c>
      <c r="M6" s="11">
        <f t="shared" si="5"/>
        <v>58.898130406485208</v>
      </c>
      <c r="N6" s="11">
        <f t="shared" si="6"/>
        <v>19.240968688676006</v>
      </c>
      <c r="O6" s="11">
        <f t="shared" si="7"/>
        <v>-55.666640722255963</v>
      </c>
      <c r="P6" s="11">
        <f>J6+O6</f>
        <v>554.57120514347685</v>
      </c>
      <c r="Q6" s="11">
        <f t="shared" si="8"/>
        <v>1784.73892622777</v>
      </c>
      <c r="R6" s="13">
        <f t="shared" si="9"/>
        <v>0.32668216386300436</v>
      </c>
      <c r="S6" s="13">
        <f t="shared" si="10"/>
        <v>0.94513425703112952</v>
      </c>
      <c r="T6" s="13">
        <f t="shared" si="11"/>
        <v>0.75355405010279419</v>
      </c>
      <c r="U6" s="12">
        <f t="shared" si="12"/>
        <v>0.1960186986024828</v>
      </c>
      <c r="V6" s="12">
        <f t="shared" si="13"/>
        <v>0.18903591682419665</v>
      </c>
      <c r="W6" s="11">
        <f t="shared" si="14"/>
        <v>41.855897346979596</v>
      </c>
      <c r="X6" s="11">
        <f t="shared" si="22"/>
        <v>1394.7604665843069</v>
      </c>
      <c r="Y6" s="12">
        <f>X6/P6</f>
        <v>2.515025038531272</v>
      </c>
      <c r="Z6" s="10" t="str">
        <f t="shared" si="15"/>
        <v>Ja</v>
      </c>
      <c r="AA6" s="10" t="str">
        <f t="shared" si="16"/>
        <v>Ja</v>
      </c>
    </row>
    <row r="7" spans="1:27" x14ac:dyDescent="0.25">
      <c r="A7" s="10">
        <v>1.5</v>
      </c>
      <c r="B7" s="12">
        <f t="shared" si="0"/>
        <v>1.92</v>
      </c>
      <c r="C7" s="12">
        <f t="shared" si="1"/>
        <v>6.088528154195175</v>
      </c>
      <c r="D7" s="12">
        <f>ABS(C7-$B$31)</f>
        <v>68.911471845804826</v>
      </c>
      <c r="E7" s="12">
        <f t="shared" si="17"/>
        <v>21.08852815419516</v>
      </c>
      <c r="F7" s="11">
        <f t="shared" si="2"/>
        <v>1863.28125</v>
      </c>
      <c r="G7" s="10">
        <f t="shared" si="3"/>
        <v>198.75</v>
      </c>
      <c r="H7" s="11">
        <f t="shared" si="18"/>
        <v>1873.8512692050995</v>
      </c>
      <c r="I7" s="27">
        <f t="shared" si="4"/>
        <v>624.61708973503312</v>
      </c>
      <c r="J7" s="11">
        <f t="shared" si="19"/>
        <v>674.23043185738356</v>
      </c>
      <c r="K7" s="11">
        <f t="shared" si="20"/>
        <v>1748.351195801052</v>
      </c>
      <c r="L7" s="12">
        <f t="shared" si="24"/>
        <v>1.1569136111954919</v>
      </c>
      <c r="M7" s="11">
        <f t="shared" si="5"/>
        <v>65.712693115903946</v>
      </c>
      <c r="N7" s="11">
        <f t="shared" si="6"/>
        <v>23.64408434445405</v>
      </c>
      <c r="O7" s="11">
        <f t="shared" si="7"/>
        <v>-61.31162460787769</v>
      </c>
      <c r="P7" s="11">
        <f t="shared" si="21"/>
        <v>612.9188072495059</v>
      </c>
      <c r="Q7" s="11">
        <f t="shared" si="8"/>
        <v>1771.9952801455061</v>
      </c>
      <c r="R7" s="13">
        <f t="shared" si="9"/>
        <v>0.35981000356735693</v>
      </c>
      <c r="S7" s="13">
        <f t="shared" si="10"/>
        <v>0.93302559521851203</v>
      </c>
      <c r="T7" s="13">
        <f t="shared" si="11"/>
        <v>0.75355405010279419</v>
      </c>
      <c r="U7" s="12">
        <f t="shared" si="12"/>
        <v>0.21869822517873194</v>
      </c>
      <c r="V7" s="12">
        <f t="shared" si="13"/>
        <v>0.18903591682419663</v>
      </c>
      <c r="W7" s="11">
        <f t="shared" si="14"/>
        <v>46.698659507025674</v>
      </c>
      <c r="X7" s="11">
        <f t="shared" si="22"/>
        <v>1391.5269657736255</v>
      </c>
      <c r="Y7" s="12">
        <f t="shared" si="23"/>
        <v>2.2703283849587685</v>
      </c>
      <c r="Z7" s="10" t="str">
        <f t="shared" si="15"/>
        <v>Ja</v>
      </c>
      <c r="AA7" s="10" t="str">
        <f t="shared" si="16"/>
        <v>Ja</v>
      </c>
    </row>
    <row r="8" spans="1:27" x14ac:dyDescent="0.25">
      <c r="A8" s="10">
        <v>2</v>
      </c>
      <c r="B8" s="12">
        <f t="shared" si="0"/>
        <v>1.8577777777777778</v>
      </c>
      <c r="C8" s="12">
        <f t="shared" si="1"/>
        <v>8.0944484822720035</v>
      </c>
      <c r="D8" s="12">
        <f t="shared" ref="D8:D19" si="25">ABS(C8-$B$31)</f>
        <v>66.905551517728</v>
      </c>
      <c r="E8" s="12">
        <f t="shared" si="17"/>
        <v>23.094448482272014</v>
      </c>
      <c r="F8" s="11">
        <f t="shared" si="2"/>
        <v>1863.28125</v>
      </c>
      <c r="G8" s="10">
        <f t="shared" si="3"/>
        <v>265</v>
      </c>
      <c r="H8" s="11">
        <f t="shared" si="18"/>
        <v>1882.0313537774982</v>
      </c>
      <c r="I8" s="27">
        <f t="shared" si="4"/>
        <v>627.34378459249945</v>
      </c>
      <c r="J8" s="11">
        <f t="shared" si="19"/>
        <v>738.22301784903414</v>
      </c>
      <c r="K8" s="11">
        <f t="shared" si="20"/>
        <v>1731.2044340630102</v>
      </c>
      <c r="L8" s="12">
        <f t="shared" si="24"/>
        <v>1.2792648921014118</v>
      </c>
      <c r="M8" s="11">
        <f t="shared" si="5"/>
        <v>72.662245871360199</v>
      </c>
      <c r="N8" s="11">
        <f t="shared" si="6"/>
        <v>28.501619977360754</v>
      </c>
      <c r="O8" s="11">
        <f t="shared" si="7"/>
        <v>-66.839057696350807</v>
      </c>
      <c r="P8" s="11">
        <f t="shared" si="21"/>
        <v>671.38396015268336</v>
      </c>
      <c r="Q8" s="11">
        <f t="shared" si="8"/>
        <v>1759.7060540403711</v>
      </c>
      <c r="R8" s="13">
        <f t="shared" si="9"/>
        <v>0.39224799117576786</v>
      </c>
      <c r="S8" s="13">
        <f t="shared" si="10"/>
        <v>0.91985950743500755</v>
      </c>
      <c r="T8" s="13">
        <f t="shared" si="11"/>
        <v>0.75355405010279419</v>
      </c>
      <c r="U8" s="12">
        <f t="shared" si="12"/>
        <v>0.24182701173939736</v>
      </c>
      <c r="V8" s="12">
        <f t="shared" si="13"/>
        <v>0.18903591682419663</v>
      </c>
      <c r="W8" s="11">
        <f t="shared" si="14"/>
        <v>51.637352208004309</v>
      </c>
      <c r="X8" s="11">
        <f t="shared" si="22"/>
        <v>1388.795705167395</v>
      </c>
      <c r="Y8" s="12">
        <f t="shared" si="23"/>
        <v>2.0685565750655717</v>
      </c>
      <c r="Z8" s="35" t="str">
        <f t="shared" si="15"/>
        <v>Ja</v>
      </c>
      <c r="AA8" s="10" t="str">
        <f t="shared" si="16"/>
        <v>Ja</v>
      </c>
    </row>
    <row r="9" spans="1:27" x14ac:dyDescent="0.25">
      <c r="A9" s="15">
        <v>2.5</v>
      </c>
      <c r="B9" s="12">
        <f t="shared" si="0"/>
        <v>1.7777777777777777</v>
      </c>
      <c r="C9" s="12">
        <f t="shared" si="1"/>
        <v>10.080597987542321</v>
      </c>
      <c r="D9" s="12">
        <f t="shared" si="25"/>
        <v>64.919402012457681</v>
      </c>
      <c r="E9" s="12">
        <f t="shared" si="17"/>
        <v>25.080597987542319</v>
      </c>
      <c r="F9" s="11">
        <f t="shared" si="2"/>
        <v>1863.28125</v>
      </c>
      <c r="G9" s="10">
        <f t="shared" si="3"/>
        <v>331.25</v>
      </c>
      <c r="H9" s="11">
        <f t="shared" si="18"/>
        <v>1892.4966523356291</v>
      </c>
      <c r="I9" s="27">
        <f t="shared" si="4"/>
        <v>630.83221744520972</v>
      </c>
      <c r="J9" s="11">
        <f t="shared" si="19"/>
        <v>802.21560384068505</v>
      </c>
      <c r="K9" s="11">
        <f t="shared" si="20"/>
        <v>1714.0576723249683</v>
      </c>
      <c r="L9" s="12">
        <f t="shared" si="24"/>
        <v>1.4040640816114729</v>
      </c>
      <c r="M9" s="11">
        <f t="shared" si="5"/>
        <v>79.750839835531664</v>
      </c>
      <c r="N9" s="11">
        <f t="shared" si="6"/>
        <v>33.805802539468161</v>
      </c>
      <c r="O9" s="11">
        <f t="shared" si="7"/>
        <v>-72.231324016212739</v>
      </c>
      <c r="P9" s="11">
        <f t="shared" si="21"/>
        <v>729.98427982447231</v>
      </c>
      <c r="Q9" s="11">
        <f t="shared" si="8"/>
        <v>1747.8634748644365</v>
      </c>
      <c r="R9" s="13">
        <f t="shared" si="9"/>
        <v>0.42389274657401843</v>
      </c>
      <c r="S9" s="13">
        <f t="shared" si="10"/>
        <v>0.90571239331364739</v>
      </c>
      <c r="T9" s="13">
        <f t="shared" si="11"/>
        <v>0.75355405010279419</v>
      </c>
      <c r="U9" s="12">
        <f t="shared" si="12"/>
        <v>0.2654185409473484</v>
      </c>
      <c r="V9" s="12">
        <f t="shared" si="13"/>
        <v>0.18903591682419663</v>
      </c>
      <c r="W9" s="11">
        <f t="shared" si="14"/>
        <v>56.674854404612418</v>
      </c>
      <c r="X9" s="11">
        <f t="shared" si="22"/>
        <v>1386.5441460176135</v>
      </c>
      <c r="Y9" s="12">
        <f t="shared" si="23"/>
        <v>1.8994164454486795</v>
      </c>
      <c r="Z9" s="35" t="str">
        <f t="shared" si="15"/>
        <v>Ja</v>
      </c>
      <c r="AA9" s="10" t="str">
        <f t="shared" si="16"/>
        <v>Ja</v>
      </c>
    </row>
    <row r="10" spans="1:27" x14ac:dyDescent="0.25">
      <c r="A10" s="10">
        <v>3</v>
      </c>
      <c r="B10" s="12">
        <f t="shared" si="0"/>
        <v>1.68</v>
      </c>
      <c r="C10" s="12">
        <f t="shared" si="1"/>
        <v>12.042575142884985</v>
      </c>
      <c r="D10" s="12">
        <f t="shared" si="25"/>
        <v>62.957424857115015</v>
      </c>
      <c r="E10" s="12">
        <f t="shared" si="17"/>
        <v>27.042575142884971</v>
      </c>
      <c r="F10" s="11">
        <f t="shared" si="2"/>
        <v>1863.28125</v>
      </c>
      <c r="G10" s="10">
        <f t="shared" si="3"/>
        <v>397.5</v>
      </c>
      <c r="H10" s="11">
        <f t="shared" si="18"/>
        <v>1905.2095072725106</v>
      </c>
      <c r="I10" s="27">
        <f t="shared" si="4"/>
        <v>635.06983575750348</v>
      </c>
      <c r="J10" s="11">
        <f t="shared" si="19"/>
        <v>866.20818983233596</v>
      </c>
      <c r="K10" s="11">
        <f t="shared" si="20"/>
        <v>1696.9109105869261</v>
      </c>
      <c r="L10" s="12">
        <f t="shared" si="24"/>
        <v>1.5313853858115616</v>
      </c>
      <c r="M10" s="11">
        <f t="shared" si="5"/>
        <v>86.98268991409671</v>
      </c>
      <c r="N10" s="11">
        <f t="shared" si="6"/>
        <v>39.54689397130965</v>
      </c>
      <c r="O10" s="11">
        <f t="shared" si="7"/>
        <v>-77.472779231894691</v>
      </c>
      <c r="P10" s="11">
        <f t="shared" si="21"/>
        <v>788.73541060044124</v>
      </c>
      <c r="Q10" s="11">
        <f t="shared" si="8"/>
        <v>1736.4578045582357</v>
      </c>
      <c r="R10" s="13">
        <f t="shared" si="9"/>
        <v>0.45465246028107187</v>
      </c>
      <c r="S10" s="13">
        <f t="shared" si="10"/>
        <v>0.89066892859264402</v>
      </c>
      <c r="T10" s="13">
        <f t="shared" si="11"/>
        <v>0.75355405010279419</v>
      </c>
      <c r="U10" s="12">
        <f t="shared" si="12"/>
        <v>0.28948684041806461</v>
      </c>
      <c r="V10" s="12">
        <f t="shared" si="13"/>
        <v>0.18903591682419663</v>
      </c>
      <c r="W10" s="11">
        <f t="shared" si="14"/>
        <v>61.814161415346248</v>
      </c>
      <c r="X10" s="11">
        <f t="shared" si="22"/>
        <v>1384.7486176868424</v>
      </c>
      <c r="Y10" s="12">
        <f t="shared" si="23"/>
        <v>1.7556567120939501</v>
      </c>
      <c r="Z10" s="35" t="str">
        <f t="shared" si="15"/>
        <v>Ja</v>
      </c>
      <c r="AA10" s="10" t="str">
        <f t="shared" si="16"/>
        <v>Ja</v>
      </c>
    </row>
    <row r="11" spans="1:27" x14ac:dyDescent="0.25">
      <c r="A11" s="10">
        <v>3.5</v>
      </c>
      <c r="B11" s="12">
        <f t="shared" si="0"/>
        <v>1.5644444444444443</v>
      </c>
      <c r="C11" s="12">
        <f t="shared" si="1"/>
        <v>13.97631066602688</v>
      </c>
      <c r="D11" s="12">
        <f t="shared" si="25"/>
        <v>61.023689333973124</v>
      </c>
      <c r="E11" s="12">
        <f t="shared" si="17"/>
        <v>28.976310666026876</v>
      </c>
      <c r="F11" s="11">
        <f t="shared" si="2"/>
        <v>1863.28125</v>
      </c>
      <c r="G11" s="10">
        <f t="shared" si="3"/>
        <v>463.75</v>
      </c>
      <c r="H11" s="11">
        <f t="shared" si="18"/>
        <v>1920.1252769289722</v>
      </c>
      <c r="I11" s="27">
        <f t="shared" si="4"/>
        <v>640.0417589763241</v>
      </c>
      <c r="J11" s="11">
        <f t="shared" si="19"/>
        <v>930.20077582398665</v>
      </c>
      <c r="K11" s="11">
        <f t="shared" si="20"/>
        <v>1679.7641488488841</v>
      </c>
      <c r="L11" s="12">
        <f t="shared" si="24"/>
        <v>1.6613060407226308</v>
      </c>
      <c r="M11" s="11">
        <f t="shared" si="5"/>
        <v>94.362183113045432</v>
      </c>
      <c r="N11" s="11">
        <f t="shared" si="6"/>
        <v>45.713567231710826</v>
      </c>
      <c r="O11" s="11">
        <f t="shared" si="7"/>
        <v>-82.549932603314531</v>
      </c>
      <c r="P11" s="11">
        <f t="shared" si="21"/>
        <v>847.65084322067207</v>
      </c>
      <c r="Q11" s="11">
        <f t="shared" si="8"/>
        <v>1725.477716080595</v>
      </c>
      <c r="R11" s="13">
        <f t="shared" si="9"/>
        <v>0.48444796128705714</v>
      </c>
      <c r="S11" s="13">
        <f t="shared" si="10"/>
        <v>0.87482008024782676</v>
      </c>
      <c r="T11" s="13">
        <f t="shared" si="11"/>
        <v>0.75355405010279419</v>
      </c>
      <c r="U11" s="12">
        <f t="shared" si="12"/>
        <v>0.31404651053357863</v>
      </c>
      <c r="V11" s="12">
        <f t="shared" si="13"/>
        <v>0.18903591682419663</v>
      </c>
      <c r="W11" s="11">
        <f t="shared" si="14"/>
        <v>67.058390861616104</v>
      </c>
      <c r="X11" s="11">
        <f t="shared" si="22"/>
        <v>1383.3849316850608</v>
      </c>
      <c r="Y11" s="12">
        <f t="shared" si="23"/>
        <v>1.6320221265029982</v>
      </c>
      <c r="Z11" s="35" t="str">
        <f t="shared" si="15"/>
        <v>Ja</v>
      </c>
      <c r="AA11" s="10" t="str">
        <f t="shared" si="16"/>
        <v>Ja</v>
      </c>
    </row>
    <row r="12" spans="1:27" x14ac:dyDescent="0.25">
      <c r="A12" s="15">
        <v>4</v>
      </c>
      <c r="B12" s="12">
        <f t="shared" si="0"/>
        <v>1.431111111111111</v>
      </c>
      <c r="C12" s="12">
        <f t="shared" si="1"/>
        <v>15.878107876058362</v>
      </c>
      <c r="D12" s="12">
        <f t="shared" si="25"/>
        <v>59.121892123941635</v>
      </c>
      <c r="E12" s="12">
        <f t="shared" si="17"/>
        <v>30.87810787605838</v>
      </c>
      <c r="F12" s="11">
        <f t="shared" si="2"/>
        <v>1863.28125</v>
      </c>
      <c r="G12" s="10">
        <f t="shared" si="3"/>
        <v>530</v>
      </c>
      <c r="H12" s="11">
        <f t="shared" si="18"/>
        <v>1937.1930767483045</v>
      </c>
      <c r="I12" s="27">
        <f t="shared" si="4"/>
        <v>645.73102558276821</v>
      </c>
      <c r="J12" s="11">
        <f t="shared" si="19"/>
        <v>994.19336181563756</v>
      </c>
      <c r="K12" s="11">
        <f t="shared" si="20"/>
        <v>1662.6173871108419</v>
      </c>
      <c r="L12" s="12">
        <f t="shared" si="24"/>
        <v>1.7939064685410226</v>
      </c>
      <c r="M12" s="11">
        <f t="shared" si="5"/>
        <v>101.89388741313009</v>
      </c>
      <c r="N12" s="11">
        <f t="shared" si="6"/>
        <v>52.2933040034222</v>
      </c>
      <c r="O12" s="11">
        <f t="shared" si="7"/>
        <v>-87.451556009972165</v>
      </c>
      <c r="P12" s="11">
        <f t="shared" si="21"/>
        <v>906.74180580566542</v>
      </c>
      <c r="Q12" s="11">
        <f t="shared" si="8"/>
        <v>1714.9106911142642</v>
      </c>
      <c r="R12" s="13">
        <f t="shared" si="9"/>
        <v>0.51321335686603398</v>
      </c>
      <c r="S12" s="13">
        <f t="shared" si="10"/>
        <v>0.85826106187703566</v>
      </c>
      <c r="T12" s="13">
        <f t="shared" si="11"/>
        <v>0.75355405010279419</v>
      </c>
      <c r="U12" s="12">
        <f t="shared" si="12"/>
        <v>0.33911275397750906</v>
      </c>
      <c r="V12" s="12">
        <f t="shared" si="13"/>
        <v>0.18903591682419663</v>
      </c>
      <c r="W12" s="11">
        <f t="shared" si="14"/>
        <v>72.410788974365659</v>
      </c>
      <c r="X12" s="11">
        <f t="shared" si="22"/>
        <v>1382.4289718165276</v>
      </c>
      <c r="Y12" s="12">
        <f t="shared" si="23"/>
        <v>1.5246114858332807</v>
      </c>
      <c r="Z12" s="35" t="str">
        <f t="shared" si="15"/>
        <v>Ja</v>
      </c>
      <c r="AA12" s="10" t="str">
        <f t="shared" si="16"/>
        <v>Ja</v>
      </c>
    </row>
    <row r="13" spans="1:27" x14ac:dyDescent="0.25">
      <c r="A13" s="10">
        <v>4.5</v>
      </c>
      <c r="B13" s="12">
        <f t="shared" si="0"/>
        <v>1.28</v>
      </c>
      <c r="C13" s="12">
        <f t="shared" si="1"/>
        <v>17.744671625056935</v>
      </c>
      <c r="D13" s="12">
        <f t="shared" si="25"/>
        <v>57.255328374943062</v>
      </c>
      <c r="E13" s="12">
        <f t="shared" si="17"/>
        <v>32.744671625056924</v>
      </c>
      <c r="F13" s="11">
        <f t="shared" si="2"/>
        <v>1863.28125</v>
      </c>
      <c r="G13" s="10">
        <f t="shared" si="3"/>
        <v>596.25</v>
      </c>
      <c r="H13" s="11">
        <f t="shared" si="18"/>
        <v>1956.3565828093717</v>
      </c>
      <c r="I13" s="27">
        <f t="shared" si="4"/>
        <v>652.11886093645728</v>
      </c>
      <c r="J13" s="11">
        <f t="shared" si="19"/>
        <v>1058.1859478072881</v>
      </c>
      <c r="K13" s="11">
        <f t="shared" si="20"/>
        <v>1645.4706253728</v>
      </c>
      <c r="L13" s="12">
        <f t="shared" si="24"/>
        <v>1.9292704436474726</v>
      </c>
      <c r="M13" s="11">
        <f t="shared" si="5"/>
        <v>109.58256119917645</v>
      </c>
      <c r="N13" s="11">
        <f t="shared" si="6"/>
        <v>59.272796894307163</v>
      </c>
      <c r="O13" s="11">
        <f t="shared" si="7"/>
        <v>-92.168721740607097</v>
      </c>
      <c r="P13" s="11">
        <f t="shared" si="21"/>
        <v>966.01722606668102</v>
      </c>
      <c r="Q13" s="11">
        <f t="shared" si="8"/>
        <v>1704.7434222671072</v>
      </c>
      <c r="R13" s="13">
        <f t="shared" si="9"/>
        <v>0.54089625434628541</v>
      </c>
      <c r="S13" s="13">
        <f t="shared" si="10"/>
        <v>0.84108931870174075</v>
      </c>
      <c r="T13" s="13">
        <f t="shared" si="11"/>
        <v>0.75355405010279419</v>
      </c>
      <c r="U13" s="12">
        <f t="shared" si="12"/>
        <v>0.36470140711672455</v>
      </c>
      <c r="V13" s="12">
        <f t="shared" si="13"/>
        <v>0.18903591682419663</v>
      </c>
      <c r="W13" s="11">
        <f t="shared" si="14"/>
        <v>77.874737295002589</v>
      </c>
      <c r="X13" s="11">
        <f t="shared" si="22"/>
        <v>1381.8572394990349</v>
      </c>
      <c r="Y13" s="12">
        <f t="shared" si="23"/>
        <v>1.4304685281084726</v>
      </c>
      <c r="Z13" s="35" t="str">
        <f t="shared" si="15"/>
        <v>Ja</v>
      </c>
      <c r="AA13" s="10" t="str">
        <f t="shared" si="16"/>
        <v>Ja</v>
      </c>
    </row>
    <row r="14" spans="1:27" x14ac:dyDescent="0.25">
      <c r="A14" s="10">
        <v>5</v>
      </c>
      <c r="B14" s="12">
        <f t="shared" ref="B14:B16" si="26">($B$23*$B$24^2)/(8*$B$27)*(1-((2*A14)/$B$24)^2)</f>
        <v>1.1111111111111112</v>
      </c>
      <c r="C14" s="12">
        <f t="shared" ref="C14:C16" si="27">ATAN((8*$B$25*A14)/$B$24^2)*180/PI()</f>
        <v>19.573125830410195</v>
      </c>
      <c r="D14" s="12">
        <f t="shared" si="25"/>
        <v>55.426874169589809</v>
      </c>
      <c r="E14" s="12">
        <f t="shared" si="17"/>
        <v>34.573125830410191</v>
      </c>
      <c r="F14" s="11">
        <f t="shared" si="2"/>
        <v>1863.28125</v>
      </c>
      <c r="G14" s="10">
        <f t="shared" ref="G14:G16" si="28">($B$23*A14)</f>
        <v>662.5</v>
      </c>
      <c r="H14" s="11">
        <f t="shared" si="18"/>
        <v>1977.5548706929885</v>
      </c>
      <c r="I14" s="27">
        <f t="shared" ref="I14:I16" si="29">H14/$H$23</f>
        <v>659.1849568976628</v>
      </c>
      <c r="J14" s="11">
        <f t="shared" si="19"/>
        <v>1122.1785337989388</v>
      </c>
      <c r="K14" s="11">
        <f t="shared" si="20"/>
        <v>1628.3238636347583</v>
      </c>
      <c r="L14" s="12">
        <f t="shared" si="24"/>
        <v>2.0674852691048864</v>
      </c>
      <c r="M14" s="11">
        <f t="shared" ref="M14:M16" si="30">$G$32*L14*1000</f>
        <v>117.43316328515756</v>
      </c>
      <c r="N14" s="11">
        <f t="shared" ref="N14:N16" si="31">COS(D14*PI()/180)*$G$32*1000*L14</f>
        <v>66.638340582949212</v>
      </c>
      <c r="O14" s="11">
        <f t="shared" ref="O14:O16" si="32">-SIN(D14*PI()/180)*$G$32*1000*L14</f>
        <v>-96.694774437450022</v>
      </c>
      <c r="P14" s="11">
        <f t="shared" si="21"/>
        <v>1025.4837593614889</v>
      </c>
      <c r="Q14" s="11">
        <f t="shared" si="8"/>
        <v>1694.9622042177075</v>
      </c>
      <c r="R14" s="13">
        <f t="shared" si="9"/>
        <v>0.56745759646390859</v>
      </c>
      <c r="S14" s="13">
        <f t="shared" si="10"/>
        <v>0.82340262096704786</v>
      </c>
      <c r="T14" s="13">
        <f t="shared" si="11"/>
        <v>0.75355405010279419</v>
      </c>
      <c r="U14" s="12">
        <f t="shared" ref="U14:U16" si="33">L14/$G$25^2</f>
        <v>0.39082897336576311</v>
      </c>
      <c r="V14" s="12">
        <f t="shared" si="13"/>
        <v>0.18903591682419663</v>
      </c>
      <c r="W14" s="11">
        <f t="shared" ref="W14:W16" si="34">$G$28*U14*$G$27/1000</f>
        <v>83.453759799707214</v>
      </c>
      <c r="X14" s="11">
        <f t="shared" si="22"/>
        <v>1381.6473380388099</v>
      </c>
      <c r="Y14" s="12">
        <f t="shared" si="23"/>
        <v>1.3473127442789383</v>
      </c>
      <c r="Z14" s="35" t="str">
        <f t="shared" ref="Z14:Z16" si="35">IF(D14&lt;$M$24, "Nej", "Ja")</f>
        <v>Ja</v>
      </c>
      <c r="AA14" s="10" t="str">
        <f t="shared" ref="AA14:AA16" si="36">IF(AND(Y14&lt;1,D14&gt;$M$24), "Nej", "Ja")</f>
        <v>Ja</v>
      </c>
    </row>
    <row r="15" spans="1:27" x14ac:dyDescent="0.25">
      <c r="A15" s="15">
        <v>5.5</v>
      </c>
      <c r="B15" s="12">
        <f t="shared" si="26"/>
        <v>0.92444444444444462</v>
      </c>
      <c r="C15" s="12">
        <f t="shared" si="27"/>
        <v>21.361020161252576</v>
      </c>
      <c r="D15" s="12">
        <f t="shared" si="25"/>
        <v>53.638979838747424</v>
      </c>
      <c r="E15" s="12">
        <f t="shared" si="17"/>
        <v>36.361020161252583</v>
      </c>
      <c r="F15" s="11">
        <f t="shared" si="2"/>
        <v>1863.28125</v>
      </c>
      <c r="G15" s="10">
        <f t="shared" si="28"/>
        <v>728.75</v>
      </c>
      <c r="H15" s="11">
        <f t="shared" si="18"/>
        <v>2000.723263997688</v>
      </c>
      <c r="I15" s="27">
        <f t="shared" si="29"/>
        <v>666.90775466589605</v>
      </c>
      <c r="J15" s="11">
        <f t="shared" si="19"/>
        <v>1186.1711197905897</v>
      </c>
      <c r="K15" s="11">
        <f t="shared" si="20"/>
        <v>1611.1771018967161</v>
      </c>
      <c r="L15" s="12">
        <f t="shared" si="24"/>
        <v>2.2086419644262589</v>
      </c>
      <c r="M15" s="11">
        <f t="shared" si="30"/>
        <v>125.45086357941152</v>
      </c>
      <c r="N15" s="11">
        <f t="shared" si="31"/>
        <v>74.376198851886329</v>
      </c>
      <c r="O15" s="11">
        <f t="shared" si="32"/>
        <v>-101.02524544471437</v>
      </c>
      <c r="P15" s="11">
        <f t="shared" si="21"/>
        <v>1085.1458743458754</v>
      </c>
      <c r="Q15" s="11">
        <f t="shared" si="8"/>
        <v>1685.5533007486024</v>
      </c>
      <c r="R15" s="13">
        <f t="shared" si="9"/>
        <v>0.59287115871311258</v>
      </c>
      <c r="S15" s="13">
        <f t="shared" si="10"/>
        <v>0.80529732966536727</v>
      </c>
      <c r="T15" s="13">
        <f t="shared" si="11"/>
        <v>0.75355405010279419</v>
      </c>
      <c r="U15" s="12">
        <f t="shared" si="33"/>
        <v>0.41751265868171256</v>
      </c>
      <c r="V15" s="12">
        <f t="shared" si="13"/>
        <v>0.18903591682419663</v>
      </c>
      <c r="W15" s="11">
        <f t="shared" si="34"/>
        <v>89.15153047865887</v>
      </c>
      <c r="X15" s="11">
        <f t="shared" si="22"/>
        <v>1381.7783848925956</v>
      </c>
      <c r="Y15" s="12">
        <f t="shared" si="23"/>
        <v>1.2733572670361299</v>
      </c>
      <c r="Z15" s="35" t="str">
        <f t="shared" si="35"/>
        <v>Ja</v>
      </c>
      <c r="AA15" s="10" t="str">
        <f t="shared" si="36"/>
        <v>Ja</v>
      </c>
    </row>
    <row r="16" spans="1:27" x14ac:dyDescent="0.25">
      <c r="A16" s="10">
        <v>6</v>
      </c>
      <c r="B16" s="12">
        <f t="shared" si="26"/>
        <v>0.71999999999999975</v>
      </c>
      <c r="C16" s="12">
        <f t="shared" si="27"/>
        <v>23.106326858271576</v>
      </c>
      <c r="D16" s="12">
        <f t="shared" si="25"/>
        <v>51.893673141728428</v>
      </c>
      <c r="E16" s="12">
        <f t="shared" si="17"/>
        <v>38.106326858271586</v>
      </c>
      <c r="F16" s="11">
        <f t="shared" si="2"/>
        <v>1863.28125</v>
      </c>
      <c r="G16" s="10">
        <f t="shared" si="28"/>
        <v>795</v>
      </c>
      <c r="H16" s="11">
        <f t="shared" si="18"/>
        <v>2025.7941693571838</v>
      </c>
      <c r="I16" s="27">
        <f t="shared" si="29"/>
        <v>675.26472311906127</v>
      </c>
      <c r="J16" s="11">
        <f t="shared" si="19"/>
        <v>1250.1637057822404</v>
      </c>
      <c r="K16" s="11">
        <f t="shared" si="20"/>
        <v>1594.0303401586739</v>
      </c>
      <c r="L16" s="12">
        <f t="shared" si="24"/>
        <v>2.3528354654613337</v>
      </c>
      <c r="M16" s="11">
        <f t="shared" si="30"/>
        <v>133.64105443820375</v>
      </c>
      <c r="N16" s="11">
        <f t="shared" si="31"/>
        <v>82.472937472283235</v>
      </c>
      <c r="O16" s="11">
        <f t="shared" si="32"/>
        <v>-105.15771971685103</v>
      </c>
      <c r="P16" s="11">
        <f t="shared" si="21"/>
        <v>1145.0059860653894</v>
      </c>
      <c r="Q16" s="11">
        <f t="shared" si="8"/>
        <v>1676.5032776309572</v>
      </c>
      <c r="R16" s="13">
        <f t="shared" si="9"/>
        <v>0.61712276829137946</v>
      </c>
      <c r="S16" s="13">
        <f t="shared" si="10"/>
        <v>0.78686688128068039</v>
      </c>
      <c r="T16" s="13">
        <f t="shared" si="11"/>
        <v>0.75355405010279419</v>
      </c>
      <c r="U16" s="12">
        <f t="shared" si="33"/>
        <v>0.44477040934996864</v>
      </c>
      <c r="V16" s="12">
        <f t="shared" si="13"/>
        <v>0.18903591682419663</v>
      </c>
      <c r="W16" s="11">
        <f t="shared" si="34"/>
        <v>94.971881404433461</v>
      </c>
      <c r="X16" s="11">
        <f t="shared" si="22"/>
        <v>1382.231346196608</v>
      </c>
      <c r="Y16" s="12">
        <f t="shared" si="23"/>
        <v>1.2071826374868149</v>
      </c>
      <c r="Z16" s="35" t="str">
        <f t="shared" si="35"/>
        <v>Ja</v>
      </c>
      <c r="AA16" s="10" t="str">
        <f t="shared" si="36"/>
        <v>Ja</v>
      </c>
    </row>
    <row r="17" spans="1:28" x14ac:dyDescent="0.25">
      <c r="A17" s="10">
        <v>6.5</v>
      </c>
      <c r="B17" s="12">
        <f>($B$23*$B$24^2)/(8*$B$27)*(1-((2*A17)/$B$24)^2)</f>
        <v>0.49777777777777765</v>
      </c>
      <c r="C17" s="12">
        <f>ATAN((8*$B$25*A17)/$B$24^2)*180/PI()</f>
        <v>24.807428973141768</v>
      </c>
      <c r="D17" s="12">
        <f t="shared" si="25"/>
        <v>50.192571026858232</v>
      </c>
      <c r="E17" s="12">
        <f t="shared" si="17"/>
        <v>39.807428973141782</v>
      </c>
      <c r="F17" s="11">
        <f t="shared" si="2"/>
        <v>1863.28125</v>
      </c>
      <c r="G17" s="10">
        <f>($B$23*A17)</f>
        <v>861.25</v>
      </c>
      <c r="H17" s="11">
        <f t="shared" si="18"/>
        <v>2052.6978781841135</v>
      </c>
      <c r="I17" s="27">
        <f>H17/$H$23</f>
        <v>684.23262606137121</v>
      </c>
      <c r="J17" s="11">
        <f t="shared" si="19"/>
        <v>1314.1562917738911</v>
      </c>
      <c r="K17" s="11">
        <f t="shared" si="20"/>
        <v>1576.8835784206319</v>
      </c>
      <c r="L17" s="12">
        <f t="shared" si="24"/>
        <v>2.5001648373244869</v>
      </c>
      <c r="M17" s="11">
        <f>$G$32*L17*1000</f>
        <v>142.00936276003088</v>
      </c>
      <c r="N17" s="11">
        <f>COS(D17*PI()/180)*$G$32*1000*L17</f>
        <v>90.91571611453513</v>
      </c>
      <c r="O17" s="11">
        <f>-SIN(D17*PI()/180)*$G$32*1000*L17</f>
        <v>-109.0916663860778</v>
      </c>
      <c r="P17" s="11">
        <f t="shared" si="21"/>
        <v>1205.0646253878133</v>
      </c>
      <c r="Q17" s="11">
        <f t="shared" si="8"/>
        <v>1667.7992945351671</v>
      </c>
      <c r="R17" s="13">
        <f t="shared" si="9"/>
        <v>0.64020930977745194</v>
      </c>
      <c r="S17" s="13">
        <f t="shared" si="10"/>
        <v>0.76820052048555565</v>
      </c>
      <c r="T17" s="13">
        <f t="shared" si="11"/>
        <v>0.75355405010279419</v>
      </c>
      <c r="U17" s="12">
        <f>L17/$G$25^2</f>
        <v>0.4726209522352528</v>
      </c>
      <c r="V17" s="12">
        <f t="shared" si="13"/>
        <v>0.18903591682419663</v>
      </c>
      <c r="W17" s="11">
        <f>$G$28*U17*$G$27/1000</f>
        <v>100.91881132680844</v>
      </c>
      <c r="X17" s="11">
        <f t="shared" si="22"/>
        <v>1382.9892926516964</v>
      </c>
      <c r="Y17" s="12">
        <f t="shared" si="23"/>
        <v>1.1476474070480855</v>
      </c>
      <c r="Z17" s="35" t="str">
        <f>IF(D17&lt;$M$24, "Nej", "Ja")</f>
        <v>Ja</v>
      </c>
      <c r="AA17" s="10" t="str">
        <f>IF(AND(Y17&lt;1,D17&gt;$M$24), "Nej", "Ja")</f>
        <v>Ja</v>
      </c>
    </row>
    <row r="18" spans="1:28" x14ac:dyDescent="0.25">
      <c r="A18" s="10">
        <v>7</v>
      </c>
      <c r="B18" s="12">
        <f t="shared" ref="B18:B19" si="37">($B$23*$B$24^2)/(8*$B$27)*(1-((2*A18)/$B$24)^2)</f>
        <v>0.25777777777777766</v>
      </c>
      <c r="C18" s="12">
        <f t="shared" ref="C18:C19" si="38">ATAN((8*$B$25*A18)/$B$24^2)*180/PI()</f>
        <v>26.463101499062404</v>
      </c>
      <c r="D18" s="12">
        <f t="shared" si="25"/>
        <v>48.536898500937596</v>
      </c>
      <c r="E18" s="12">
        <f t="shared" si="17"/>
        <v>41.463101499062418</v>
      </c>
      <c r="F18" s="11">
        <f t="shared" si="2"/>
        <v>1863.28125</v>
      </c>
      <c r="G18" s="10">
        <f t="shared" ref="G18:G19" si="39">($B$23*A18)</f>
        <v>927.5</v>
      </c>
      <c r="H18" s="11">
        <f t="shared" si="18"/>
        <v>2081.3633192216976</v>
      </c>
      <c r="I18" s="27">
        <f t="shared" ref="I18:I19" si="40">H18/$H$23</f>
        <v>693.78777307389919</v>
      </c>
      <c r="J18" s="11">
        <f t="shared" si="19"/>
        <v>1378.1488777655422</v>
      </c>
      <c r="K18" s="11">
        <f t="shared" si="20"/>
        <v>1559.7368166825897</v>
      </c>
      <c r="L18" s="12">
        <f t="shared" si="24"/>
        <v>2.6507335013673625</v>
      </c>
      <c r="M18" s="11">
        <f t="shared" ref="M18:M19" si="41">$G$32*L18*1000</f>
        <v>150.56166287766621</v>
      </c>
      <c r="N18" s="11">
        <f t="shared" ref="N18:N19" si="42">COS(D18*PI()/180)*$G$32*1000*L18</f>
        <v>99.692535567005422</v>
      </c>
      <c r="O18" s="11">
        <f t="shared" ref="O18:O19" si="43">-SIN(D18*PI()/180)*$G$32*1000*L18</f>
        <v>-112.82824416213066</v>
      </c>
      <c r="P18" s="11">
        <f t="shared" si="21"/>
        <v>1265.3206336034116</v>
      </c>
      <c r="Q18" s="11">
        <f t="shared" si="8"/>
        <v>1659.4293522495952</v>
      </c>
      <c r="R18" s="13">
        <f t="shared" si="9"/>
        <v>0.6621375831110955</v>
      </c>
      <c r="S18" s="13">
        <f t="shared" si="10"/>
        <v>0.74938229297988967</v>
      </c>
      <c r="T18" s="13">
        <f t="shared" si="11"/>
        <v>0.75355405010279419</v>
      </c>
      <c r="U18" s="12">
        <f t="shared" ref="U18:U19" si="44">L18/$G$25^2</f>
        <v>0.50108383768759224</v>
      </c>
      <c r="V18" s="12">
        <f t="shared" si="13"/>
        <v>0.18903591682419663</v>
      </c>
      <c r="W18" s="11">
        <f t="shared" ref="W18:W19" si="45">$G$28*U18*$G$27/1000</f>
        <v>106.99649483448208</v>
      </c>
      <c r="X18" s="11">
        <f t="shared" si="22"/>
        <v>1384.0375799122589</v>
      </c>
      <c r="Y18" s="12">
        <f t="shared" si="23"/>
        <v>1.0938236073577352</v>
      </c>
      <c r="Z18" s="35" t="str">
        <f t="shared" ref="Z18:Z19" si="46">IF(D18&lt;$M$24, "Nej", "Ja")</f>
        <v>Ja</v>
      </c>
      <c r="AA18" s="10" t="str">
        <f t="shared" ref="AA18:AA19" si="47">IF(AND(Y18&lt;1,D18&gt;$M$24), "Nej", "Ja")</f>
        <v>Ja</v>
      </c>
    </row>
    <row r="19" spans="1:28" ht="15.75" thickBot="1" x14ac:dyDescent="0.3">
      <c r="A19" s="36">
        <v>7.5</v>
      </c>
      <c r="B19" s="17">
        <f t="shared" si="37"/>
        <v>0</v>
      </c>
      <c r="C19" s="17">
        <f t="shared" si="38"/>
        <v>28.072486935852954</v>
      </c>
      <c r="D19" s="17">
        <f t="shared" si="25"/>
        <v>46.92751306414705</v>
      </c>
      <c r="E19" s="17">
        <f t="shared" si="17"/>
        <v>43.072486935852965</v>
      </c>
      <c r="F19" s="18">
        <f t="shared" si="2"/>
        <v>1863.28125</v>
      </c>
      <c r="G19" s="16">
        <f t="shared" si="39"/>
        <v>993.75</v>
      </c>
      <c r="H19" s="18">
        <f t="shared" si="18"/>
        <v>2111.71875</v>
      </c>
      <c r="I19" s="37">
        <f t="shared" si="40"/>
        <v>703.90625</v>
      </c>
      <c r="J19" s="18">
        <f t="shared" si="19"/>
        <v>1442.1414637571929</v>
      </c>
      <c r="K19" s="18">
        <f t="shared" si="20"/>
        <v>1542.590054944548</v>
      </c>
      <c r="L19" s="17">
        <f>IF($H$23/TAN(D19*PI()/180)&gt;$M$23,$M$23,$H$23/TAN(D19*PI()/180))</f>
        <v>2.8046494772890918</v>
      </c>
      <c r="M19" s="18">
        <f t="shared" si="41"/>
        <v>159.3040903100204</v>
      </c>
      <c r="N19" s="18">
        <f t="shared" si="42"/>
        <v>108.79243932564451</v>
      </c>
      <c r="O19" s="18">
        <f t="shared" si="43"/>
        <v>-116.37009209878241</v>
      </c>
      <c r="P19" s="18">
        <f t="shared" si="21"/>
        <v>1325.7713716584105</v>
      </c>
      <c r="Q19" s="18">
        <f t="shared" si="8"/>
        <v>1651.3824942701924</v>
      </c>
      <c r="R19" s="38">
        <f t="shared" si="9"/>
        <v>0.68292307569707988</v>
      </c>
      <c r="S19" s="38">
        <f t="shared" si="10"/>
        <v>0.73049029608916805</v>
      </c>
      <c r="T19" s="38">
        <f t="shared" si="11"/>
        <v>0.75355405010279419</v>
      </c>
      <c r="U19" s="17">
        <f t="shared" si="44"/>
        <v>0.53017948530984726</v>
      </c>
      <c r="V19" s="17">
        <f t="shared" si="13"/>
        <v>0.18903591682419663</v>
      </c>
      <c r="W19" s="18">
        <f t="shared" si="45"/>
        <v>113.20929212781932</v>
      </c>
      <c r="X19" s="18">
        <f t="shared" si="22"/>
        <v>1385.3639597570993</v>
      </c>
      <c r="Y19" s="17">
        <f t="shared" si="23"/>
        <v>1.0449493701347197</v>
      </c>
      <c r="Z19" s="39" t="str">
        <f t="shared" si="46"/>
        <v>Ja</v>
      </c>
      <c r="AA19" s="16" t="str">
        <f t="shared" si="47"/>
        <v>Ja</v>
      </c>
    </row>
    <row r="20" spans="1:28" x14ac:dyDescent="0.25">
      <c r="A20" t="s">
        <v>52</v>
      </c>
      <c r="G20" s="19"/>
      <c r="H20" s="20"/>
      <c r="I20" s="28"/>
      <c r="J20" s="45">
        <f>M24</f>
        <v>24.6199773286571</v>
      </c>
      <c r="K20" s="44" t="s">
        <v>54</v>
      </c>
      <c r="L20" s="30"/>
      <c r="M20" s="29"/>
      <c r="N20" s="29"/>
      <c r="O20" s="29"/>
      <c r="P20" s="29"/>
      <c r="Q20" s="29"/>
      <c r="R20" s="31"/>
      <c r="S20" s="31"/>
      <c r="T20" s="31"/>
      <c r="U20" s="30"/>
      <c r="V20" s="30"/>
      <c r="W20" s="29"/>
      <c r="X20" s="29"/>
      <c r="Y20" s="32"/>
    </row>
    <row r="21" spans="1:28" x14ac:dyDescent="0.25">
      <c r="A21" t="s">
        <v>55</v>
      </c>
      <c r="F21" s="40">
        <f>M23</f>
        <v>6.5465367070797722</v>
      </c>
      <c r="G21" s="25" t="s">
        <v>0</v>
      </c>
      <c r="H21" s="20"/>
      <c r="I21" s="41"/>
      <c r="J21" s="20"/>
      <c r="K21" s="20"/>
      <c r="L21" s="21"/>
      <c r="M21" s="20"/>
      <c r="N21" s="20"/>
      <c r="O21" s="20"/>
      <c r="P21" s="20"/>
      <c r="Q21" s="20"/>
      <c r="R21" s="22"/>
      <c r="S21" s="22"/>
      <c r="T21" s="22"/>
      <c r="U21" s="21"/>
      <c r="V21" s="21"/>
      <c r="W21" s="20"/>
      <c r="X21" s="20"/>
      <c r="Y21" s="22"/>
    </row>
    <row r="22" spans="1:28" x14ac:dyDescent="0.25">
      <c r="A22" s="19"/>
      <c r="B22" s="21"/>
      <c r="C22" s="21"/>
      <c r="D22" s="21"/>
      <c r="E22" s="21"/>
      <c r="F22" s="20"/>
      <c r="G22" s="19"/>
      <c r="H22" s="20"/>
      <c r="I22" s="41"/>
      <c r="J22" s="20"/>
      <c r="K22" s="20"/>
      <c r="L22" s="21"/>
      <c r="M22" s="20"/>
      <c r="N22" s="20"/>
      <c r="O22" s="20"/>
      <c r="P22" s="20"/>
      <c r="Q22" s="20"/>
      <c r="R22" s="22"/>
      <c r="S22" s="22"/>
      <c r="T22" s="22"/>
      <c r="U22" s="21"/>
      <c r="V22" s="21"/>
      <c r="W22" s="20"/>
      <c r="X22" s="20"/>
      <c r="Y22" s="22"/>
      <c r="AA22" s="23"/>
      <c r="AB22" s="23"/>
    </row>
    <row r="23" spans="1:28" ht="18" x14ac:dyDescent="0.35">
      <c r="A23" t="s">
        <v>29</v>
      </c>
      <c r="B23" s="1">
        <f>5*26.5</f>
        <v>132.5</v>
      </c>
      <c r="C23" t="s">
        <v>1</v>
      </c>
      <c r="D23" t="s">
        <v>30</v>
      </c>
      <c r="H23">
        <v>3</v>
      </c>
      <c r="I23" s="43"/>
      <c r="J23" t="s">
        <v>0</v>
      </c>
      <c r="L23" t="s">
        <v>31</v>
      </c>
      <c r="M23" s="40">
        <f>H23/TAN(M24*PI()/180)</f>
        <v>6.5465367070797722</v>
      </c>
      <c r="N23" t="s">
        <v>0</v>
      </c>
      <c r="O23" s="20"/>
      <c r="P23" s="20"/>
      <c r="Q23" s="20"/>
      <c r="R23" s="22"/>
      <c r="S23" s="22"/>
      <c r="T23" s="22"/>
      <c r="U23" s="21"/>
      <c r="V23" s="21"/>
      <c r="W23" s="20"/>
      <c r="X23" s="20"/>
      <c r="Y23" s="22"/>
      <c r="Z23" s="1"/>
      <c r="AA23" s="1"/>
    </row>
    <row r="24" spans="1:28" ht="18" x14ac:dyDescent="0.35">
      <c r="A24" t="s">
        <v>32</v>
      </c>
      <c r="B24">
        <v>15</v>
      </c>
      <c r="C24" t="s">
        <v>0</v>
      </c>
      <c r="L24" s="24" t="s">
        <v>51</v>
      </c>
      <c r="M24" s="1">
        <f>ACOS(G31/(G31+H23*0.5))*180/PI()</f>
        <v>24.6199773286571</v>
      </c>
      <c r="N24" s="24" t="s">
        <v>35</v>
      </c>
      <c r="O24" s="20"/>
      <c r="P24" s="20"/>
      <c r="Q24" s="20"/>
      <c r="R24" s="22"/>
      <c r="S24" s="22"/>
      <c r="T24" s="22"/>
      <c r="U24" s="21"/>
      <c r="V24" s="21"/>
      <c r="W24" s="20"/>
      <c r="X24" s="20"/>
      <c r="Y24" s="22"/>
    </row>
    <row r="25" spans="1:28" x14ac:dyDescent="0.25">
      <c r="A25" t="s">
        <v>33</v>
      </c>
      <c r="B25">
        <v>2</v>
      </c>
      <c r="C25" t="s">
        <v>0</v>
      </c>
      <c r="D25" t="s">
        <v>34</v>
      </c>
      <c r="G25">
        <v>2.2999999999999998</v>
      </c>
      <c r="H25" t="s">
        <v>0</v>
      </c>
      <c r="L25" s="24"/>
      <c r="M25" s="1"/>
      <c r="N25" s="24"/>
    </row>
    <row r="27" spans="1:28" x14ac:dyDescent="0.25">
      <c r="A27" t="s">
        <v>36</v>
      </c>
      <c r="B27" s="1">
        <f>(B23*B24^2)/(8*B25)</f>
        <v>1863.28125</v>
      </c>
      <c r="C27" t="s">
        <v>37</v>
      </c>
      <c r="D27" t="s">
        <v>38</v>
      </c>
      <c r="G27">
        <v>435</v>
      </c>
      <c r="H27" t="s">
        <v>2</v>
      </c>
    </row>
    <row r="28" spans="1:28" x14ac:dyDescent="0.25">
      <c r="A28" t="s">
        <v>39</v>
      </c>
      <c r="B28" s="1">
        <f>B24*B23/2</f>
        <v>993.75</v>
      </c>
      <c r="C28" t="s">
        <v>37</v>
      </c>
      <c r="D28" s="24" t="s">
        <v>40</v>
      </c>
      <c r="G28" s="1">
        <f>25^2*PI()/4</f>
        <v>490.87385212340519</v>
      </c>
      <c r="H28" t="s">
        <v>41</v>
      </c>
    </row>
    <row r="29" spans="1:28" x14ac:dyDescent="0.25">
      <c r="A29" t="s">
        <v>42</v>
      </c>
      <c r="B29" s="1">
        <f>(B27^2+B28^2)^0.5</f>
        <v>2111.71875</v>
      </c>
      <c r="C29" t="s">
        <v>37</v>
      </c>
      <c r="D29" t="s">
        <v>43</v>
      </c>
      <c r="G29">
        <v>21.3</v>
      </c>
      <c r="H29" t="s">
        <v>2</v>
      </c>
    </row>
    <row r="30" spans="1:28" x14ac:dyDescent="0.25">
      <c r="D30" t="s">
        <v>44</v>
      </c>
      <c r="G30">
        <v>0.04</v>
      </c>
      <c r="H30" t="s">
        <v>3</v>
      </c>
    </row>
    <row r="31" spans="1:28" ht="17.25" x14ac:dyDescent="0.25">
      <c r="A31" t="s">
        <v>45</v>
      </c>
      <c r="B31">
        <v>75</v>
      </c>
      <c r="C31" t="s">
        <v>46</v>
      </c>
      <c r="D31" t="s">
        <v>47</v>
      </c>
      <c r="G31">
        <v>15</v>
      </c>
      <c r="H31" t="s">
        <v>0</v>
      </c>
    </row>
    <row r="32" spans="1:28" ht="18.75" x14ac:dyDescent="0.35">
      <c r="A32" s="24" t="s">
        <v>48</v>
      </c>
      <c r="B32">
        <v>37</v>
      </c>
      <c r="C32" t="s">
        <v>46</v>
      </c>
      <c r="D32" s="25" t="s">
        <v>49</v>
      </c>
      <c r="G32" s="2">
        <f>(G29*G30)/G31</f>
        <v>5.6800000000000003E-2</v>
      </c>
      <c r="H32" t="s">
        <v>2</v>
      </c>
    </row>
  </sheetData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Valvstabilitet 15 grader komb</vt:lpstr>
      <vt:lpstr>Valvstabilitet 30 grader bult</vt:lpstr>
      <vt:lpstr>Valvstabilitet 45 grader bult</vt:lpstr>
      <vt:lpstr>Valvstabilitet 60 grader bult</vt:lpstr>
      <vt:lpstr>Valvstabilitet 75 grader bult</vt:lpstr>
    </vt:vector>
  </TitlesOfParts>
  <Company>AECOM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Johansson, Fredrik</dc:creator>
  <cp:lastModifiedBy>Fredrik Johansson</cp:lastModifiedBy>
  <cp:lastPrinted>2018-09-19T12:11:48Z</cp:lastPrinted>
  <dcterms:created xsi:type="dcterms:W3CDTF">2018-08-29T10:07:10Z</dcterms:created>
  <dcterms:modified xsi:type="dcterms:W3CDTF">2024-08-19T15:31:16Z</dcterms:modified>
</cp:coreProperties>
</file>